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codeName="ThisWorkbook" defaultThemeVersion="124226"/>
  <xr:revisionPtr revIDLastSave="0" documentId="13_ncr:1_{3BDCC95C-4FFF-41AD-931D-335C02474395}" xr6:coauthVersionLast="43" xr6:coauthVersionMax="43" xr10:uidLastSave="{00000000-0000-0000-0000-000000000000}"/>
  <bookViews>
    <workbookView xWindow="-120" yWindow="-120" windowWidth="20730" windowHeight="1116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FN107"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H293" i="42" l="1"/>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A129" i="42" s="1"/>
  <c r="AP159" i="42" s="1"/>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BP101" i="42"/>
  <c r="BQ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03" i="42"/>
  <c r="BQ103"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Z129" i="42"/>
  <c r="AO159" i="42" s="1"/>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CA103" i="42"/>
  <c r="CB103"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B101" i="42"/>
  <c r="CA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CD103" i="42"/>
  <c r="CC103"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D101" i="42"/>
  <c r="CC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BF159"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Q103" i="42" s="1"/>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R103" i="42"/>
  <c r="AE103"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03" i="42"/>
  <c r="AC103"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D103" i="42"/>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H129" i="42"/>
  <c r="H159" i="42" s="1"/>
  <c r="P129" i="42"/>
  <c r="I129" i="42"/>
  <c r="I159" i="42" s="1"/>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59" i="42"/>
  <c r="FQ159"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AW159"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59"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BC159"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59"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293" i="41"/>
  <c r="D326"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I88" i="42"/>
  <c r="AI91" i="42"/>
  <c r="AP87" i="42"/>
  <c r="AQ88" i="42"/>
  <c r="AJ87" i="42"/>
  <c r="AR88" i="42"/>
  <c r="AR91" i="42"/>
  <c r="AJ91" i="42"/>
  <c r="AI87" i="42"/>
  <c r="AJ88" i="42"/>
  <c r="AK90" i="42"/>
  <c r="AK89" i="42"/>
  <c r="AR90" i="42"/>
  <c r="AP91" i="42"/>
  <c r="AK87" i="42"/>
  <c r="AI90" i="42"/>
  <c r="AK88" i="42"/>
  <c r="AK91" i="42"/>
  <c r="AQ90" i="42"/>
  <c r="AQ87" i="42"/>
  <c r="AP90" i="42"/>
  <c r="AI89" i="42"/>
  <c r="AJ89" i="42"/>
  <c r="AR87" i="42"/>
  <c r="AP89" i="42"/>
  <c r="AR89" i="42"/>
  <c r="AQ91" i="42"/>
  <c r="AJ90" i="42"/>
  <c r="AQ89" i="42"/>
  <c r="AP88" i="42"/>
  <c r="AB64" i="42" l="1"/>
  <c r="AE64" i="42" s="1"/>
  <c r="E90" i="22"/>
  <c r="P64" i="42"/>
  <c r="S64" i="42" s="1"/>
  <c r="D90" i="22"/>
  <c r="D64" i="42"/>
  <c r="J90" i="42" s="1"/>
  <c r="M90" i="42" s="1"/>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J87" i="42" s="1"/>
  <c r="M87" i="42" s="1"/>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D87" i="42"/>
  <c r="W89" i="42"/>
  <c r="AC88" i="42"/>
  <c r="AB90" i="42"/>
  <c r="AC87" i="42"/>
  <c r="U87" i="42"/>
  <c r="AC91" i="42"/>
  <c r="V89" i="42"/>
  <c r="AD90" i="42"/>
  <c r="AB87" i="42"/>
  <c r="AB89" i="42"/>
  <c r="AB91" i="42"/>
  <c r="AD91" i="42"/>
  <c r="AB88" i="42"/>
  <c r="U89" i="42"/>
  <c r="V87" i="42"/>
  <c r="AC90" i="42"/>
  <c r="W87" i="42"/>
  <c r="AD88" i="42"/>
  <c r="G63" i="42" l="1"/>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Z64" i="42"/>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AA256"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AD89" i="42"/>
  <c r="P88" i="42"/>
  <c r="O90" i="42"/>
  <c r="U91" i="42"/>
  <c r="V91" i="42"/>
  <c r="N89" i="42"/>
  <c r="V90" i="42"/>
  <c r="P89" i="42"/>
  <c r="U90" i="42"/>
  <c r="AC89" i="42"/>
  <c r="P87" i="42"/>
  <c r="O89" i="42"/>
  <c r="O87" i="42"/>
  <c r="W91" i="42"/>
  <c r="W90" i="42"/>
  <c r="BA464" i="42" l="1"/>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G256" i="42"/>
  <c r="K256" i="42" s="1"/>
  <c r="H256" i="42"/>
  <c r="L256" i="42" s="1"/>
  <c r="G259" i="42"/>
  <c r="K259"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I436" i="42" s="1"/>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J437" i="42" s="1"/>
  <c r="AH64" i="42"/>
  <c r="AI64" i="42"/>
  <c r="AI62" i="42"/>
  <c r="K62" i="42"/>
  <c r="J62" i="42"/>
  <c r="M61" i="42"/>
  <c r="D434" i="42" s="1"/>
  <c r="Y61" i="42"/>
  <c r="V62" i="42"/>
  <c r="W62" i="42"/>
  <c r="AK61" i="42"/>
  <c r="H434" i="42" s="1"/>
  <c r="AK65" i="42"/>
  <c r="M64" i="42"/>
  <c r="C437" i="42" s="1"/>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U88" i="42"/>
  <c r="N91" i="42"/>
  <c r="N87" i="42"/>
  <c r="W88" i="42"/>
  <c r="P90" i="42"/>
  <c r="N88" i="42"/>
  <c r="V88" i="42"/>
  <c r="O88" i="42"/>
  <c r="N90" i="42"/>
  <c r="P91" i="42"/>
  <c r="O91" i="42"/>
  <c r="G260" i="42" l="1"/>
  <c r="G257" i="42"/>
  <c r="K257" i="42" s="1"/>
  <c r="C435" i="42"/>
  <c r="D461" i="42" s="1"/>
  <c r="H260" i="42"/>
  <c r="Q257" i="42"/>
  <c r="U257" i="42" s="1"/>
  <c r="F260" i="42"/>
  <c r="F257" i="42"/>
  <c r="J257" i="42" s="1"/>
  <c r="B435" i="42"/>
  <c r="B461" i="42" s="1"/>
  <c r="P257" i="42"/>
  <c r="T257" i="42" s="1"/>
  <c r="B438" i="42"/>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AB462" i="42"/>
  <c r="D437" i="42"/>
  <c r="F463" i="42" s="1"/>
  <c r="F460" i="42"/>
  <c r="B434" i="42"/>
  <c r="B460" i="42" s="1"/>
  <c r="B437" i="42"/>
  <c r="B463" i="42" s="1"/>
  <c r="AA461" i="42"/>
  <c r="R463" i="42"/>
  <c r="D463" i="42"/>
  <c r="AC461" i="42"/>
  <c r="AE461" i="42"/>
  <c r="D462" i="42"/>
  <c r="AA460" i="42"/>
  <c r="AC462"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G284" i="42"/>
  <c r="I284" i="42"/>
  <c r="F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L260" i="42"/>
  <c r="K260" i="42"/>
  <c r="J260" i="42"/>
  <c r="D222" i="42"/>
  <c r="F222" i="42" s="1"/>
  <c r="AA65" i="42"/>
  <c r="AM61" i="42"/>
  <c r="AM64" i="42"/>
  <c r="AM65" i="42"/>
  <c r="O62" i="42"/>
  <c r="AA61" i="42"/>
  <c r="AA62" i="42"/>
  <c r="O61" i="42"/>
  <c r="O64" i="42"/>
  <c r="O63" i="42"/>
  <c r="AA63" i="42"/>
  <c r="E461" i="42" l="1"/>
  <c r="C461" i="42"/>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J81" i="42"/>
  <c r="AK82" i="42"/>
  <c r="AP75" i="42"/>
  <c r="AR84" i="42"/>
  <c r="AP82" i="42"/>
  <c r="AK75" i="42"/>
  <c r="AQ85" i="42"/>
  <c r="AJ79" i="42"/>
  <c r="AJ80" i="42"/>
  <c r="AI83" i="42"/>
  <c r="AK86" i="42"/>
  <c r="AI73" i="42"/>
  <c r="AJ72" i="42"/>
  <c r="AQ77" i="42"/>
  <c r="AQ76" i="42"/>
  <c r="AP85" i="42"/>
  <c r="AK76" i="42"/>
  <c r="AR83" i="42"/>
  <c r="AI76" i="42"/>
  <c r="AQ82" i="42"/>
  <c r="AI79" i="42"/>
  <c r="AI74" i="42"/>
  <c r="AR81" i="42"/>
  <c r="AK85" i="42"/>
  <c r="AJ75" i="42"/>
  <c r="AP83" i="42"/>
  <c r="AK78" i="42"/>
  <c r="AK73" i="42"/>
  <c r="AP72" i="42"/>
  <c r="AI78" i="42"/>
  <c r="AP81" i="42"/>
  <c r="AI77" i="42"/>
  <c r="AP78" i="42"/>
  <c r="AI85" i="42"/>
  <c r="AP80" i="42"/>
  <c r="AJ76" i="42"/>
  <c r="AQ72" i="42"/>
  <c r="AK72" i="42"/>
  <c r="AR82" i="42"/>
  <c r="AR80" i="42"/>
  <c r="AJ73" i="42"/>
  <c r="AR77" i="42"/>
  <c r="AI86" i="42"/>
  <c r="AQ78" i="42"/>
  <c r="AJ74" i="42"/>
  <c r="AP74" i="42"/>
  <c r="AQ86" i="42"/>
  <c r="AK79" i="42"/>
  <c r="AI82" i="42"/>
  <c r="AJ78" i="42"/>
  <c r="AK74" i="42"/>
  <c r="AQ81" i="42"/>
  <c r="AQ75" i="42"/>
  <c r="AQ84" i="42"/>
  <c r="AR74" i="42"/>
  <c r="AK81" i="42"/>
  <c r="AI80" i="42"/>
  <c r="AP79" i="42"/>
  <c r="AI84" i="42"/>
  <c r="AK84" i="42"/>
  <c r="AI81" i="42"/>
  <c r="AP76" i="42"/>
  <c r="AR76" i="42"/>
  <c r="AP73" i="42"/>
  <c r="AR72" i="42"/>
  <c r="AP77" i="42"/>
  <c r="AP84" i="42"/>
  <c r="AJ82" i="42"/>
  <c r="AJ85" i="42"/>
  <c r="AP86" i="42"/>
  <c r="AJ77" i="42"/>
  <c r="AQ83" i="42"/>
  <c r="AR75" i="42"/>
  <c r="AQ73" i="42"/>
  <c r="AR79" i="42"/>
  <c r="AI75" i="42"/>
  <c r="AI72" i="42"/>
  <c r="AR85" i="42"/>
  <c r="AJ83" i="42"/>
  <c r="AR78" i="42"/>
  <c r="AQ79" i="42"/>
  <c r="AQ74" i="42"/>
  <c r="AR73" i="42"/>
  <c r="AJ84" i="42"/>
  <c r="AR86" i="42"/>
  <c r="AK80" i="42"/>
  <c r="AK83" i="42"/>
  <c r="AK77" i="42"/>
  <c r="AJ86" i="42"/>
  <c r="AQ80"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J86" i="42" s="1"/>
  <c r="M86" i="42" s="1"/>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J78" i="42" s="1"/>
  <c r="M78" i="42" s="1"/>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J81" i="42" s="1"/>
  <c r="M81" i="42" s="1"/>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B83" i="42"/>
  <c r="AC81" i="42"/>
  <c r="AD79" i="42"/>
  <c r="AD76" i="42"/>
  <c r="V86" i="42"/>
  <c r="V76" i="42"/>
  <c r="AC86" i="42"/>
  <c r="W85" i="42"/>
  <c r="AD77" i="42"/>
  <c r="AD81" i="42"/>
  <c r="U78" i="42"/>
  <c r="W75" i="42"/>
  <c r="U73" i="42"/>
  <c r="AC73" i="42"/>
  <c r="AB74" i="42"/>
  <c r="AB76" i="42"/>
  <c r="AD80" i="42"/>
  <c r="AD73" i="42"/>
  <c r="AD78" i="42"/>
  <c r="AB84" i="42"/>
  <c r="U83" i="42"/>
  <c r="W82" i="42"/>
  <c r="AC75" i="42"/>
  <c r="W81" i="42"/>
  <c r="AC82" i="42"/>
  <c r="AC80" i="42"/>
  <c r="U86" i="42"/>
  <c r="AB81" i="42"/>
  <c r="AB79" i="42"/>
  <c r="V84" i="42"/>
  <c r="AB78" i="42"/>
  <c r="AB73" i="42"/>
  <c r="AC77" i="42"/>
  <c r="V74" i="42"/>
  <c r="AD75" i="42"/>
  <c r="U75" i="42"/>
  <c r="W76" i="42"/>
  <c r="AB85" i="42"/>
  <c r="W84" i="42"/>
  <c r="V82" i="42"/>
  <c r="AC76" i="42"/>
  <c r="V83" i="42"/>
  <c r="U76" i="42"/>
  <c r="U85" i="42"/>
  <c r="AD85" i="42"/>
  <c r="W83" i="42"/>
  <c r="U81" i="42"/>
  <c r="U74" i="42"/>
  <c r="V78" i="42"/>
  <c r="U82" i="42"/>
  <c r="V75" i="42"/>
  <c r="W77" i="42"/>
  <c r="V77" i="42"/>
  <c r="U77" i="42"/>
  <c r="V81" i="42"/>
  <c r="V73" i="42"/>
  <c r="V85" i="42"/>
  <c r="AD84" i="42"/>
  <c r="W86" i="42"/>
  <c r="AC79" i="42"/>
  <c r="AB77" i="42"/>
  <c r="AD74" i="42"/>
  <c r="AD83" i="42"/>
  <c r="U84" i="42"/>
  <c r="AC83" i="42"/>
  <c r="AD82" i="42"/>
  <c r="AC74" i="42"/>
  <c r="AB75" i="42"/>
  <c r="AD86" i="42"/>
  <c r="W78" i="42"/>
  <c r="AB82" i="42"/>
  <c r="W74" i="42"/>
  <c r="AB86" i="42"/>
  <c r="AC85" i="42"/>
  <c r="AB80" i="42"/>
  <c r="AC78" i="42"/>
  <c r="G50" i="42" l="1"/>
  <c r="J76" i="42"/>
  <c r="M76" i="42" s="1"/>
  <c r="G54" i="42"/>
  <c r="J80" i="42"/>
  <c r="M80" i="42" s="1"/>
  <c r="G58" i="42"/>
  <c r="J84" i="42"/>
  <c r="M84" i="42" s="1"/>
  <c r="G51" i="42"/>
  <c r="J77" i="42"/>
  <c r="M77" i="42" s="1"/>
  <c r="G59" i="42"/>
  <c r="J85" i="42"/>
  <c r="M85" i="42" s="1"/>
  <c r="G56" i="42"/>
  <c r="J82" i="42"/>
  <c r="M82"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Q243" i="42"/>
  <c r="P243" i="42"/>
  <c r="Q247" i="42"/>
  <c r="P247" i="42"/>
  <c r="Q251" i="42"/>
  <c r="P251" i="42"/>
  <c r="Q255" i="42"/>
  <c r="P255" i="42"/>
  <c r="Q244" i="42"/>
  <c r="P244" i="42"/>
  <c r="Q254" i="42"/>
  <c r="P254" i="42"/>
  <c r="Q242" i="42"/>
  <c r="P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P78" i="42"/>
  <c r="P76" i="42"/>
  <c r="O81" i="42"/>
  <c r="D380" i="41"/>
  <c r="P73" i="42"/>
  <c r="N78" i="42"/>
  <c r="V79" i="42"/>
  <c r="O76" i="42"/>
  <c r="O83" i="42"/>
  <c r="U80" i="42"/>
  <c r="O74" i="42"/>
  <c r="V80" i="42"/>
  <c r="N86" i="42"/>
  <c r="W73" i="42"/>
  <c r="P75" i="42"/>
  <c r="N74" i="42"/>
  <c r="U79" i="42"/>
  <c r="N73" i="42"/>
  <c r="O73" i="42"/>
  <c r="AC84" i="42"/>
  <c r="D366" i="41"/>
  <c r="W79" i="42"/>
  <c r="P74" i="42"/>
  <c r="W80" i="42"/>
  <c r="P86" i="42"/>
  <c r="O86" i="42"/>
  <c r="E248" i="42" l="1"/>
  <c r="E251" i="42"/>
  <c r="E246" i="42"/>
  <c r="E249" i="42"/>
  <c r="E252" i="42"/>
  <c r="E244" i="42"/>
  <c r="E254" i="42"/>
  <c r="E253" i="42"/>
  <c r="E245" i="42"/>
  <c r="AC168" i="42"/>
  <c r="Y481" i="42" s="1"/>
  <c r="G243" i="42"/>
  <c r="F243" i="42"/>
  <c r="H243" i="42"/>
  <c r="E243" i="42"/>
  <c r="F242"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Q248" i="42"/>
  <c r="U248" i="42" s="1"/>
  <c r="M53" i="42"/>
  <c r="N136" i="42"/>
  <c r="R136" i="42" s="1"/>
  <c r="AC164" i="42"/>
  <c r="Y477" i="42" s="1"/>
  <c r="N55" i="42"/>
  <c r="D250" i="42"/>
  <c r="C277" i="42" s="1"/>
  <c r="E277" i="42" s="1"/>
  <c r="G252" i="42"/>
  <c r="K252" i="42" s="1"/>
  <c r="G242" i="42"/>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D422" i="42" s="1"/>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J431" i="42" s="1"/>
  <c r="AK59" i="42"/>
  <c r="H432" i="42" s="1"/>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J421" i="42" s="1"/>
  <c r="K216" i="42"/>
  <c r="M216" i="42" s="1"/>
  <c r="AH57" i="42"/>
  <c r="K211" i="42"/>
  <c r="M211" i="42" s="1"/>
  <c r="AK53" i="42"/>
  <c r="I426" i="42" s="1"/>
  <c r="K215" i="42"/>
  <c r="M215" i="42" s="1"/>
  <c r="AK52" i="42"/>
  <c r="AK60" i="42"/>
  <c r="AK56" i="42"/>
  <c r="AK51" i="42"/>
  <c r="Y49" i="42"/>
  <c r="Y55" i="42"/>
  <c r="F428" i="42" s="1"/>
  <c r="Y57" i="42"/>
  <c r="F430" i="42" s="1"/>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T247"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U243" i="42"/>
  <c r="V52" i="42"/>
  <c r="Y52" i="42"/>
  <c r="E425" i="42" s="1"/>
  <c r="Y53" i="42"/>
  <c r="G426" i="42" s="1"/>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C433" i="42" s="1"/>
  <c r="K56" i="42"/>
  <c r="J56" i="42"/>
  <c r="W54" i="42"/>
  <c r="V54" i="42"/>
  <c r="W56" i="42"/>
  <c r="V56" i="42"/>
  <c r="J52" i="42"/>
  <c r="K52" i="42"/>
  <c r="K54" i="42"/>
  <c r="J54" i="42"/>
  <c r="K50" i="42"/>
  <c r="J50" i="42"/>
  <c r="Y54" i="42"/>
  <c r="F427" i="42" s="1"/>
  <c r="Y56" i="42"/>
  <c r="E429" i="42" s="1"/>
  <c r="Y58" i="42"/>
  <c r="F431" i="42" s="1"/>
  <c r="K58" i="42"/>
  <c r="J58" i="42"/>
  <c r="AI48" i="42"/>
  <c r="AH51" i="42"/>
  <c r="V50" i="42"/>
  <c r="W52" i="42"/>
  <c r="K60" i="42"/>
  <c r="J60" i="42"/>
  <c r="AH54" i="42"/>
  <c r="AI54" i="42"/>
  <c r="W60" i="42"/>
  <c r="V60" i="42"/>
  <c r="W58" i="42"/>
  <c r="V58" i="42"/>
  <c r="M48" i="42"/>
  <c r="C421" i="42" s="1"/>
  <c r="M50" i="42"/>
  <c r="C423" i="42" s="1"/>
  <c r="M56" i="42"/>
  <c r="Y60" i="42"/>
  <c r="M58" i="42"/>
  <c r="W59" i="42"/>
  <c r="N79" i="42"/>
  <c r="P83" i="42"/>
  <c r="P79" i="42"/>
  <c r="N83" i="42"/>
  <c r="P77" i="42"/>
  <c r="N76" i="42"/>
  <c r="N81" i="42"/>
  <c r="N85" i="42"/>
  <c r="O85" i="42"/>
  <c r="O77" i="42"/>
  <c r="O79" i="42"/>
  <c r="P85" i="42"/>
  <c r="P81" i="42"/>
  <c r="O75" i="42"/>
  <c r="P82" i="42"/>
  <c r="N75" i="42"/>
  <c r="O82" i="42"/>
  <c r="D381" i="41"/>
  <c r="P80" i="42"/>
  <c r="O78" i="42"/>
  <c r="O80" i="42"/>
  <c r="N82" i="42"/>
  <c r="D367" i="41"/>
  <c r="N77" i="42"/>
  <c r="N80" i="42"/>
  <c r="P84" i="42"/>
  <c r="N84" i="42"/>
  <c r="O84" i="42"/>
  <c r="F245" i="42" l="1"/>
  <c r="J245" i="42" s="1"/>
  <c r="G253" i="42"/>
  <c r="K253" i="42" s="1"/>
  <c r="H254" i="42"/>
  <c r="L254" i="42" s="1"/>
  <c r="H249" i="42"/>
  <c r="L249" i="42" s="1"/>
  <c r="H246" i="42"/>
  <c r="L246" i="42" s="1"/>
  <c r="F251" i="42"/>
  <c r="J251" i="42" s="1"/>
  <c r="G248" i="42"/>
  <c r="K248" i="42" s="1"/>
  <c r="F252" i="42"/>
  <c r="J252" i="42" s="1"/>
  <c r="F249" i="42"/>
  <c r="J249" i="42" s="1"/>
  <c r="G246" i="42"/>
  <c r="K246" i="42" s="1"/>
  <c r="G251" i="42"/>
  <c r="K251" i="42" s="1"/>
  <c r="H248" i="42"/>
  <c r="L248" i="42" s="1"/>
  <c r="F253" i="42"/>
  <c r="J253" i="42" s="1"/>
  <c r="G254" i="42"/>
  <c r="K254" i="42" s="1"/>
  <c r="F244" i="42"/>
  <c r="J244" i="42" s="1"/>
  <c r="H252" i="42"/>
  <c r="L252" i="42" s="1"/>
  <c r="G249" i="42"/>
  <c r="K249" i="42" s="1"/>
  <c r="F246" i="42"/>
  <c r="J246" i="42" s="1"/>
  <c r="H251" i="42"/>
  <c r="L251" i="42" s="1"/>
  <c r="F248" i="42"/>
  <c r="J248" i="42" s="1"/>
  <c r="H253" i="42"/>
  <c r="L253" i="42" s="1"/>
  <c r="F254" i="42"/>
  <c r="J254" i="42" s="1"/>
  <c r="G244" i="42"/>
  <c r="K244" i="42" s="1"/>
  <c r="B429" i="42"/>
  <c r="J420" i="42"/>
  <c r="D424" i="42"/>
  <c r="B431" i="42"/>
  <c r="C432" i="42"/>
  <c r="D458" i="42" s="1"/>
  <c r="F433" i="42"/>
  <c r="G424" i="42"/>
  <c r="J428" i="42"/>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AD457" i="42"/>
  <c r="AD454" i="42"/>
  <c r="R452" i="42"/>
  <c r="R450" i="42"/>
  <c r="N449" i="42"/>
  <c r="N458" i="42"/>
  <c r="O458" i="42"/>
  <c r="G450" i="42"/>
  <c r="AB452" i="42"/>
  <c r="AC452" i="42"/>
  <c r="F448" i="42"/>
  <c r="AD446" i="42"/>
  <c r="D449" i="42"/>
  <c r="AA456" i="42"/>
  <c r="E447" i="42"/>
  <c r="E459"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59" i="42"/>
  <c r="AY159" i="42"/>
  <c r="BA159"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S129" i="42"/>
  <c r="M159" i="42" s="1"/>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82" i="41"/>
  <c r="D368"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BN159" i="42"/>
  <c r="BG159" i="42"/>
  <c r="BK159"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M363"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AL85" i="42"/>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F57" i="22" l="1"/>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P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E103" i="42"/>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AK129" i="42" s="1"/>
  <c r="AT15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FK169" i="42" l="1"/>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BI159" i="42"/>
  <c r="BM159"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59" i="42"/>
  <c r="BH159" i="42"/>
  <c r="BL159" i="42" s="1"/>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R473" i="42" l="1"/>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EW471" i="42" l="1"/>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L475"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J72" i="42" s="1"/>
  <c r="C72" i="22"/>
  <c r="AB46" i="42"/>
  <c r="AE46" i="42" s="1"/>
  <c r="E72" i="22"/>
  <c r="P46" i="42"/>
  <c r="D72" i="22"/>
  <c r="U19" i="42"/>
  <c r="U22" i="22" s="1"/>
  <c r="M19" i="42"/>
  <c r="R22" i="22" s="1"/>
  <c r="F46" i="42"/>
  <c r="AD72" i="42"/>
  <c r="EO471" i="42" l="1"/>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P72" i="42"/>
  <c r="U72" i="42"/>
  <c r="O72" i="42"/>
  <c r="AC72" i="42"/>
  <c r="W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E103" i="42"/>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G241" i="42"/>
  <c r="I350" i="42"/>
  <c r="AA241" i="42"/>
  <c r="Z241" i="42"/>
  <c r="AD241" i="42" s="1"/>
  <c r="P241" i="42"/>
  <c r="E241" i="42"/>
  <c r="I46" i="42"/>
  <c r="L46" i="42" s="1"/>
  <c r="J46" i="42" s="1"/>
  <c r="O46" i="42" s="1"/>
  <c r="N72" i="42"/>
  <c r="V72" i="42"/>
  <c r="Q241" i="42" l="1"/>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D445" i="42" l="1"/>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BG158" i="42" l="1"/>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I293"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CW101" i="42" s="1"/>
  <c r="Z127" i="42" s="1"/>
  <c r="AO157" i="42" s="1"/>
  <c r="BE101" i="42"/>
  <c r="CX101" i="42" s="1"/>
  <c r="AA127" i="42" s="1"/>
  <c r="AP157" i="42" s="1"/>
  <c r="AY157" i="42" s="1"/>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AB101" i="42" l="1"/>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AK127" i="42"/>
  <c r="AT157" i="42" s="1"/>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AZ157" i="42"/>
  <c r="BA157" i="42"/>
  <c r="AW157" i="42"/>
  <c r="BC157" i="42"/>
  <c r="BF157" i="42"/>
  <c r="F12" i="22"/>
  <c r="G12" i="22"/>
  <c r="G305" i="42"/>
  <c r="J305" i="42" s="1"/>
  <c r="Y101" i="42"/>
  <c r="AA101" i="42"/>
  <c r="Z101" i="42"/>
  <c r="AE72" i="42"/>
  <c r="E440" i="42" s="1"/>
  <c r="M6" i="22" s="1"/>
  <c r="AZ72" i="42"/>
  <c r="AG72" i="42"/>
  <c r="AF72" i="42"/>
  <c r="CR470" i="42" l="1"/>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BO157" i="42"/>
  <c r="BP157" i="42"/>
  <c r="BI157" i="42"/>
  <c r="BM157" i="42" s="1"/>
  <c r="BN157" i="42"/>
  <c r="BG157" i="42"/>
  <c r="BH157" i="42"/>
  <c r="BL157" i="42" s="1"/>
  <c r="E94" i="42"/>
  <c r="AX72" i="42"/>
  <c r="AW93" i="42"/>
  <c r="AW72" i="42"/>
  <c r="AY72" i="42"/>
  <c r="DE470" i="42" l="1"/>
  <c r="DC470" i="42"/>
  <c r="DD470" i="42"/>
  <c r="CQ470" i="42"/>
  <c r="AU445" i="42"/>
  <c r="CW470" i="42" s="1"/>
  <c r="E312" i="42"/>
  <c r="EQ470" i="42"/>
  <c r="EU470" i="42" s="1"/>
  <c r="EX470" i="42"/>
  <c r="CE470" i="42"/>
  <c r="CC470" i="42"/>
  <c r="CF470" i="42"/>
  <c r="BV470" i="42"/>
  <c r="CB470" i="42"/>
  <c r="BW470" i="42"/>
  <c r="BL470" i="42"/>
  <c r="BK157"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D517" i="42" l="1"/>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DK470" i="42" l="1"/>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<sst xmlns="http://schemas.openxmlformats.org/spreadsheetml/2006/main" count="2893" uniqueCount="976">
  <si>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</si>
  <si>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</si>
  <si>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</si>
  <si>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</si>
  <si>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</si>
  <si>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</si>
  <si>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</si>
  <si>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</si>
  <si>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</si>
  <si>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</si>
  <si>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</si>
  <si>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</si>
  <si>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</si>
  <si>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</si>
  <si>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</si>
  <si>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</si>
  <si>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</si>
  <si>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</si>
  <si>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</si>
  <si>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</si>
  <si>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</si>
  <si>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</si>
  <si>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</si>
  <si>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</si>
  <si>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</si>
  <si>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</si>
  <si>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</si>
  <si>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</si>
  <si>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</si>
  <si>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</si>
  <si>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</si>
  <si>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</si>
  <si>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</si>
  <si>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</si>
  <si>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</si>
  <si>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</si>
  <si>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</si>
  <si>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</si>
  <si>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</si>
  <si>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</si>
  <si>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</si>
  <si>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</si>
  <si>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</si>
  <si>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</si>
  <si>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</si>
  <si>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</si>
  <si>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</si>
  <si>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</si>
  <si>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</si>
  <si>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</si>
  <si>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</si>
  <si>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</si>
  <si>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</si>
  <si>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</si>
  <si>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</si>
  <si>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</si>
  <si>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</si>
  <si>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</si>
  <si>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</si>
  <si>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</si>
  <si>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</si>
  <si>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</si>
  <si>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</si>
  <si>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</si>
  <si>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</si>
  <si>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</si>
  <si>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</si>
  <si>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</si>
  <si>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</si>
  <si>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</si>
  <si>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</si>
  <si>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</si>
  <si>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</si>
  <si>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</si>
  <si>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</si>
  <si>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</si>
  <si>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</si>
  <si>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</si>
  <si>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</si>
  <si>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</si>
  <si>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</si>
  <si>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</si>
  <si>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</si>
  <si>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</si>
  <si>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</si>
  <si>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</si>
  <si>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</si>
  <si>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</si>
  <si>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</si>
  <si>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</si>
  <si>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</si>
  <si>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</si>
  <si>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</si>
  <si>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</si>
  <si>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</si>
  <si>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</si>
  <si>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</si>
  <si>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</si>
  <si>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</si>
  <si>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</si>
  <si>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</si>
  <si>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</si>
  <si>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</si>
  <si>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</si>
  <si>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</si>
  <si>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</si>
  <si>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</si>
  <si>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</si>
  <si>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</si>
  <si>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</si>
  <si>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</si>
  <si>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</si>
  <si>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</si>
  <si>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</si>
  <si>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</si>
  <si>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</si>
  <si>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</si>
  <si>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</si>
  <si>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</si>
  <si>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</si>
  <si>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</si>
  <si>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</si>
  <si>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</si>
  <si>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</si>
  <si>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</si>
  <si>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</si>
  <si>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</si>
  <si>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</si>
  <si>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</si>
  <si>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</si>
  <si>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</si>
  <si>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</si>
  <si>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</si>
  <si>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</si>
  <si>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</si>
  <si>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</si>
  <si>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</si>
  <si>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</si>
  <si>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</si>
  <si>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</si>
  <si>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</si>
  <si>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</si>
  <si>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</si>
  <si>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</si>
  <si>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</si>
  <si>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</si>
  <si>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</si>
  <si>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</si>
  <si>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</si>
  <si>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</si>
  <si>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</si>
  <si>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</si>
  <si>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</si>
  <si>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</si>
  <si>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</si>
  <si>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</si>
  <si>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</si>
  <si>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</si>
  <si>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</si>
  <si>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</si>
  <si>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</si>
  <si>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</si>
  <si>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</si>
  <si>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</si>
  <si>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</si>
  <si>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</si>
  <si>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</si>
  <si>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</si>
  <si>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</si>
  <si>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</si>
  <si>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</si>
  <si>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</si>
  <si>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</si>
  <si>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</si>
  <si>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</si>
  <si>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</si>
  <si>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</si>
  <si>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</si>
  <si>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</si>
  <si>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</si>
  <si>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</si>
  <si>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</si>
  <si>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</si>
  <si>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</si>
  <si>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</si>
  <si>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</si>
  <si>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</si>
  <si>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</si>
  <si>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</si>
  <si>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</si>
  <si>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</si>
  <si>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</si>
  <si>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</si>
  <si>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</si>
  <si>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</si>
  <si>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</si>
  <si>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</si>
  <si>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</si>
  <si>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</si>
  <si>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</si>
  <si>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</si>
  <si>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</si>
  <si>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</si>
  <si>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</si>
  <si>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</si>
  <si>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</si>
  <si>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</si>
  <si>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</si>
  <si>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</si>
  <si>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</si>
  <si>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</si>
  <si>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</si>
  <si>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</si>
  <si>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</si>
  <si>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</si>
  <si>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</si>
  <si>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</si>
  <si>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</si>
  <si>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</si>
  <si>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</si>
  <si>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</si>
  <si>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</si>
  <si>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</si>
  <si>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</si>
  <si>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</si>
  <si>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</si>
  <si>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</si>
  <si>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</si>
  <si>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</si>
  <si>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</si>
  <si>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</si>
  <si>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</si>
  <si>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</si>
  <si>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</si>
  <si>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</si>
  <si>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</si>
  <si>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</si>
  <si>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</si>
  <si>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</si>
  <si>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</si>
  <si>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</si>
  <si>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</si>
  <si>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</si>
  <si>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</si>
  <si>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</si>
  <si>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</si>
  <si>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</si>
  <si>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</si>
  <si>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</si>
  <si>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</si>
  <si>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</si>
  <si>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</si>
  <si>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</si>
  <si>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</si>
  <si>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</si>
  <si>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</si>
  <si>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</si>
  <si>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</si>
  <si>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</si>
  <si>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</si>
  <si>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</si>
  <si>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</si>
  <si>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</si>
  <si>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</si>
  <si>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</si>
  <si>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</si>
  <si>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</si>
  <si>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</si>
  <si>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</si>
  <si>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</si>
  <si>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</si>
  <si>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</si>
  <si>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</si>
  <si>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</si>
  <si>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</si>
  <si>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</si>
  <si>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</si>
  <si>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</si>
  <si>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</si>
  <si>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</si>
  <si>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</si>
  <si>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</si>
  <si>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</si>
  <si>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</si>
  <si>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</si>
  <si>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</si>
  <si>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</si>
  <si>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</si>
  <si>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</si>
  <si>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</si>
  <si>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</si>
  <si>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</si>
  <si>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</si>
  <si>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</si>
  <si>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</si>
  <si>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</si>
  <si>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</si>
  <si>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</si>
  <si>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</si>
  <si>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</si>
  <si>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</si>
  <si>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</si>
  <si>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</si>
  <si>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</si>
  <si>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</si>
  <si>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</si>
  <si>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</si>
  <si>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</si>
  <si>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</si>
  <si>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</si>
  <si>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</si>
  <si>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</si>
  <si>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</si>
  <si>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</si>
  <si>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</si>
  <si>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</si>
  <si>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</si>
  <si>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</si>
  <si>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</si>
  <si>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</si>
  <si>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</si>
  <si>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</si>
  <si>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</si>
  <si>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</si>
  <si>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</si>
  <si>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</si>
  <si>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</si>
  <si>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</si>
  <si>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</si>
  <si>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</si>
  <si>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</si>
  <si>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</si>
  <si>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</si>
  <si>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</si>
  <si>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</si>
  <si>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</si>
  <si>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</si>
  <si>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</si>
  <si>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</si>
  <si>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</si>
  <si>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</si>
  <si>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</si>
  <si>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</si>
  <si>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</si>
  <si>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</si>
  <si>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</si>
  <si>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</si>
  <si>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</si>
  <si>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</si>
  <si>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</si>
  <si>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</si>
  <si>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</si>
  <si>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</si>
  <si>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</si>
  <si>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</si>
  <si>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</si>
  <si>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</si>
  <si>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</si>
  <si>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</si>
  <si>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</si>
  <si>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</si>
  <si>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</si>
  <si>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</si>
  <si>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</si>
  <si>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</si>
  <si>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</si>
  <si>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</si>
  <si>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</si>
  <si>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</si>
  <si>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</si>
  <si>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</si>
  <si>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</si>
  <si>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</si>
  <si>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</si>
  <si>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</si>
  <si>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</si>
  <si>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</si>
  <si>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</si>
  <si>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</si>
  <si>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</si>
  <si>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</si>
  <si>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</si>
  <si>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</si>
  <si>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</si>
  <si>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</si>
  <si>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</si>
  <si>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</si>
  <si>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</si>
  <si>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</si>
  <si>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</si>
  <si>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</si>
  <si>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</si>
  <si>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</si>
  <si>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</si>
  <si>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</si>
  <si>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</si>
  <si>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</si>
  <si>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</si>
  <si>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</si>
  <si>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</si>
  <si>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</si>
  <si>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</si>
  <si>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</si>
  <si>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</si>
  <si>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</si>
  <si>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</si>
  <si>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</si>
  <si>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</si>
  <si>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</si>
  <si>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</si>
  <si>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</si>
  <si>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</si>
  <si>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</si>
  <si>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</si>
  <si>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</si>
  <si>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</si>
  <si>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</si>
  <si>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</si>
  <si>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</si>
  <si>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</si>
  <si>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</si>
  <si>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</si>
  <si>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</si>
  <si>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</si>
  <si>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</si>
  <si>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</si>
  <si>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</si>
  <si>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</si>
  <si>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</si>
  <si>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</si>
  <si>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</si>
  <si>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</si>
  <si>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</si>
  <si>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</si>
  <si>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</si>
  <si>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</si>
  <si>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</si>
  <si>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</si>
  <si>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</si>
  <si>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</si>
  <si>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</si>
  <si>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</si>
  <si>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</si>
  <si>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</si>
  <si>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</si>
  <si>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</si>
  <si>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</si>
  <si>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</si>
  <si>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</si>
  <si>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</si>
  <si>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</si>
  <si>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</si>
  <si>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</si>
  <si>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</si>
  <si>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</si>
  <si>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</si>
  <si>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</si>
  <si>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</si>
  <si>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</si>
  <si>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</si>
  <si>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</si>
  <si>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</si>
  <si>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</si>
  <si>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</si>
  <si>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</si>
  <si>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</si>
  <si>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</si>
  <si>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</si>
  <si>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</si>
  <si>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</si>
  <si>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</si>
  <si>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</si>
  <si>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</si>
  <si>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</si>
  <si>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</si>
  <si>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</si>
  <si>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</si>
  <si>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</si>
  <si>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</si>
  <si>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</si>
  <si>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</si>
  <si>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</si>
  <si>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</si>
  <si>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</si>
  <si>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</si>
  <si>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</si>
  <si>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</si>
  <si>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</si>
  <si>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</si>
  <si>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</si>
  <si>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</si>
  <si>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</si>
  <si>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</si>
  <si>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</si>
  <si>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</si>
  <si>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</si>
  <si>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</si>
  <si>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</si>
  <si>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</si>
  <si>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</si>
  <si>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</si>
  <si>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</si>
  <si>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</si>
  <si>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</si>
  <si>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</si>
  <si>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</si>
  <si>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</si>
  <si>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</si>
  <si>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</si>
  <si>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</si>
  <si>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</si>
  <si>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</si>
  <si>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</si>
  <si>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</si>
  <si>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</si>
  <si>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</si>
  <si>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</si>
  <si>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</si>
  <si>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</si>
  <si>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</si>
  <si>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</si>
  <si>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</si>
  <si>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</si>
  <si>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</si>
  <si>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</si>
  <si>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</si>
  <si>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</si>
  <si>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</si>
  <si>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</si>
  <si>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</si>
  <si>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</si>
  <si>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</si>
  <si>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</si>
  <si>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</si>
  <si>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</si>
  <si>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</si>
  <si>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</si>
  <si>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</si>
  <si>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</si>
  <si>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</si>
  <si>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</si>
  <si>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</si>
  <si>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</si>
  <si>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</si>
  <si>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</si>
  <si>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</si>
  <si>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</si>
  <si>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</si>
  <si>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</si>
  <si>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</si>
  <si>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</si>
  <si>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</si>
  <si>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</si>
  <si>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</si>
  <si>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</si>
  <si>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</si>
  <si>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</si>
  <si>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</si>
  <si>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</si>
  <si>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</si>
  <si>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</si>
  <si>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</si>
  <si>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</si>
  <si>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</si>
  <si>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</si>
  <si>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</si>
  <si>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</si>
  <si>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</si>
  <si>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</si>
  <si>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</si>
  <si>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</si>
  <si>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</si>
  <si>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</si>
  <si>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</si>
  <si>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</si>
  <si>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</si>
  <si>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</si>
  <si>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</si>
  <si>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</si>
  <si>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</si>
  <si>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</si>
  <si>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</si>
  <si>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</si>
  <si>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</si>
  <si>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</si>
  <si>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</si>
  <si>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</si>
  <si>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</si>
  <si>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</si>
  <si>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</si>
  <si>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</si>
  <si>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</si>
  <si>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</si>
  <si>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</si>
  <si>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</si>
  <si>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</si>
  <si>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</si>
  <si>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</si>
  <si>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</si>
  <si>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</si>
  <si>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</si>
  <si>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</si>
  <si>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</si>
  <si>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</si>
  <si>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</si>
  <si>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</si>
  <si>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</si>
  <si>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</si>
  <si>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</si>
  <si>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</si>
  <si>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</si>
  <si>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</si>
  <si>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</si>
  <si>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</si>
  <si>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</si>
  <si>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</si>
  <si>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</si>
  <si>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</si>
  <si>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</si>
  <si>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</si>
  <si>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</si>
  <si>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</si>
  <si>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</si>
  <si>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</si>
  <si>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</si>
  <si>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</si>
  <si>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</si>
  <si>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</si>
  <si>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</si>
  <si>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</si>
  <si>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</si>
  <si>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</si>
  <si>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</si>
  <si>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</si>
  <si>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</si>
  <si>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</si>
  <si>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</si>
  <si>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</si>
  <si>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</si>
  <si>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</si>
  <si>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</si>
  <si>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</si>
  <si>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</si>
  <si>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</si>
  <si>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</si>
  <si>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</si>
  <si>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</si>
  <si>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</si>
  <si>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</si>
  <si>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</si>
  <si>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</si>
  <si>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</si>
  <si>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</si>
  <si>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</si>
  <si>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</si>
  <si>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</si>
  <si>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</si>
  <si>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</si>
  <si>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</si>
  <si>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</si>
  <si>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</si>
  <si>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</si>
  <si>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</si>
  <si>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</si>
  <si>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</si>
  <si>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</si>
  <si>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</si>
  <si>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</si>
  <si>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</si>
  <si>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</si>
  <si>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</si>
  <si>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</si>
  <si>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</si>
  <si>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</si>
  <si>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</si>
  <si>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</si>
  <si>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</si>
  <si>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</si>
  <si>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</si>
  <si>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</si>
  <si>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</si>
  <si>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</si>
  <si>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</si>
  <si>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</si>
  <si>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</si>
  <si>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</si>
  <si>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</si>
  <si>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</si>
  <si>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</si>
  <si>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</si>
  <si>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</si>
  <si>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</si>
  <si>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</si>
  <si>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</si>
  <si>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</si>
  <si>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</si>
  <si>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</si>
  <si>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</si>
  <si>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</si>
  <si>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</si>
  <si>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</si>
  <si>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</si>
  <si>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</si>
  <si>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</si>
  <si>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</si>
  <si>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</si>
  <si>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</si>
  <si>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</si>
  <si>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</si>
  <si>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</si>
  <si>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</si>
  <si>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</si>
  <si>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</si>
  <si>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</si>
  <si>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</si>
  <si>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</si>
  <si>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</si>
  <si>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</si>
  <si>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</si>
  <si>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</si>
  <si>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</si>
  <si>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</si>
  <si>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</si>
  <si>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</si>
  <si>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</si>
  <si>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</si>
  <si>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</si>
  <si>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</si>
  <si>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</si>
  <si>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</si>
  <si>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</si>
  <si>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</si>
  <si>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</si>
  <si>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</si>
  <si>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</si>
  <si>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</si>
  <si>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</si>
  <si>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</si>
  <si>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</si>
  <si>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</si>
  <si>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</si>
  <si>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</si>
  <si>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</si>
  <si>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</si>
  <si>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</si>
  <si>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</si>
  <si>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</si>
  <si>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</si>
  <si>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</si>
  <si>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</si>
  <si>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</si>
  <si>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</si>
  <si>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</si>
  <si>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</si>
  <si>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</si>
  <si>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</si>
  <si>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</si>
  <si>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</si>
  <si>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</si>
  <si>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</si>
  <si>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</si>
  <si>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</si>
  <si>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</si>
  <si>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</si>
  <si>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</si>
  <si>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</si>
  <si>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</si>
  <si>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</si>
  <si>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</si>
  <si>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</si>
  <si>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</si>
  <si>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</si>
  <si>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</si>
  <si>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</si>
  <si>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</si>
  <si>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</si>
  <si>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</si>
  <si>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</si>
  <si>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</si>
  <si>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</si>
  <si>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</si>
  <si>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</si>
  <si>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</si>
  <si>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</si>
  <si>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</si>
  <si>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</si>
  <si>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</si>
  <si>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</si>
  <si>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</si>
  <si>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</si>
  <si>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</si>
  <si>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</si>
  <si>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</si>
  <si>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</si>
  <si>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</si>
  <si>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</si>
  <si>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</si>
  <si>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</si>
  <si>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</si>
  <si>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</si>
  <si>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</si>
  <si>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</si>
  <si>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</si>
  <si>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</si>
  <si>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</si>
  <si>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</si>
  <si>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</si>
  <si>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</si>
  <si>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</si>
  <si>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</si>
  <si>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</si>
  <si>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</si>
  <si>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</si>
  <si>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</si>
  <si>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</si>
  <si>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</si>
  <si>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</si>
  <si>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</si>
  <si>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</si>
  <si>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</si>
  <si>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</si>
  <si>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</si>
  <si>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</si>
  <si>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</si>
  <si>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</si>
  <si>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</si>
  <si>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</si>
  <si>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</si>
  <si>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</si>
  <si>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</si>
  <si>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</si>
  <si>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</si>
  <si>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</si>
  <si>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</si>
  <si>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</si>
  <si>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</si>
  <si>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</si>
  <si>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</si>
  <si>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</si>
  <si>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</si>
  <si>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</si>
  <si>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</si>
  <si>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</si>
  <si>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</si>
  <si>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</si>
  <si>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</si>
  <si>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</si>
  <si>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</si>
  <si>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</si>
  <si>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</si>
  <si>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</si>
  <si>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</si>
  <si>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</si>
  <si>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</si>
  <si>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</si>
  <si>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</si>
  <si>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</si>
  <si>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</si>
  <si>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</si>
  <si>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</si>
  <si>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</si>
  <si>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</si>
  <si>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</si>
  <si>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</si>
  <si>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</si>
  <si>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</si>
  <si>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</si>
  <si>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</si>
  <si>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</si>
  <si>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</si>
  <si>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</si>
  <si>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</si>
  <si>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</si>
  <si>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</si>
  <si>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</si>
  <si>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</si>
  <si>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</si>
  <si>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</si>
  <si>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</si>
  <si>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</si>
  <si>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</si>
  <si>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</si>
  <si>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</si>
  <si>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</si>
  <si>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</si>
  <si>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</si>
  <si>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</si>
  <si>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</si>
  <si>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</si>
  <si>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</si>
  <si>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</si>
  <si>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</si>
  <si>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</si>
  <si>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</si>
  <si>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</si>
  <si>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</si>
  <si>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</si>
  <si>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</si>
  <si>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</si>
  <si>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</si>
  <si>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</si>
  <si>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</si>
  <si>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</si>
  <si>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</si>
  <si>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</si>
  <si>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</si>
  <si>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</si>
  <si>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</si>
  <si>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</si>
  <si>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</si>
  <si>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</si>
  <si>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</si>
  <si>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</si>
  <si>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</si>
  <si>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</si>
  <si>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</si>
  <si>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</si>
  <si>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</si>
  <si>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</si>
  <si>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</si>
  <si>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</si>
  <si>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</si>
  <si>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</si>
  <si>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</si>
  <si>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</si>
  <si>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</si>
  <si>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</si>
  <si>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</si>
  <si>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</si>
  <si>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</si>
  <si>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</si>
  <si>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</si>
  <si>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</si>
  <si>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</si>
  <si>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</si>
  <si>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</si>
  <si>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</si>
  <si>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</si>
  <si>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</si>
  <si>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</si>
  <si>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</si>
  <si>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</si>
  <si>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</si>
  <si>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</si>
  <si>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</si>
  <si>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</si>
  <si>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</si>
  <si>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</si>
  <si>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</si>
  <si>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</si>
  <si>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</si>
  <si>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</si>
  <si>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</si>
  <si>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</si>
  <si>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</si>
  <si>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</si>
  <si>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</si>
  <si>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</si>
  <si>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</si>
  <si>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</si>
  <si>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</si>
  <si>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</si>
  <si>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</si>
  <si>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</si>
  <si>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</si>
  <si>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</si>
  <si>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</si>
  <si>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</si>
  <si>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</si>
  <si>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</si>
  <si>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</si>
  <si>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</si>
  <si>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</si>
  <si>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P1</t>
  </si>
  <si>
    <t>CHAMP</t>
  </si>
  <si>
    <t>EPANDAGE EN PROPRE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</si>
</sst>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1" xfId="0" applyBorder="1" applyAlignment="1">
      <alignment horizontal="center" vertical="center"/>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0" fillId="0" borderId="3" xfId="0"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1"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5" fillId="11" borderId="1" xfId="0" applyFont="1" applyFill="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45" fillId="29" borderId="1" xfId="0" applyFont="1" applyFill="1" applyBorder="1" applyAlignment="1">
      <alignment horizontal="left"/>
    </xf>
    <xf numFmtId="0" fontId="45" fillId="29" borderId="1" xfId="0" applyFont="1" applyFill="1" applyBorder="1" applyAlignment="1">
      <alignment horizontal="left" wrapText="1"/>
    </xf>
    <xf numFmtId="0" fontId="13" fillId="0" borderId="1"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44" fillId="0" borderId="0" xfId="0" applyFont="1" applyAlignment="1">
      <alignment horizontal="left"/>
    </xf>
    <xf numFmtId="0" fontId="45" fillId="14" borderId="1" xfId="0" applyFont="1" applyFill="1" applyBorder="1" applyAlignment="1">
      <alignment horizontal="left"/>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29" fillId="0" borderId="1" xfId="0" applyFont="1" applyBorder="1" applyAlignment="1">
      <alignment horizontal="center" vertical="center"/>
    </xf>
    <xf numFmtId="4" fontId="13" fillId="0" borderId="1" xfId="0" applyNumberFormat="1" applyFont="1" applyBorder="1" applyAlignment="1">
      <alignment horizontal="center" vertical="center" wrapText="1"/>
    </xf>
    <xf numFmtId="3" fontId="0" fillId="9" borderId="1" xfId="0" applyNumberFormat="1" applyFill="1" applyBorder="1" applyAlignment="1">
      <alignment horizontal="center" vertical="center"/>
    </xf>
    <xf numFmtId="0" fontId="3" fillId="0" borderId="1"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2" t="s">
        <v>5</v>
      </c>
      <c r="C101" s="106" t="s">
        <v>269</v>
      </c>
      <c r="D101" s="132" t="s">
        <v>22</v>
      </c>
    </row>
    <row r="102" spans="1:6" s="72" customFormat="1" x14ac:dyDescent="0.25">
      <c r="B102" s="512"/>
      <c r="C102" s="106" t="s">
        <v>269</v>
      </c>
      <c r="D102" s="132" t="s">
        <v>0</v>
      </c>
    </row>
    <row r="103" spans="1:6" x14ac:dyDescent="0.25">
      <c r="B103" s="512"/>
      <c r="C103" s="106" t="s">
        <v>269</v>
      </c>
      <c r="D103" s="132" t="s">
        <v>413</v>
      </c>
    </row>
    <row r="104" spans="1:6" x14ac:dyDescent="0.25">
      <c r="B104" s="512" t="s">
        <v>254</v>
      </c>
      <c r="C104" s="106" t="s">
        <v>270</v>
      </c>
      <c r="D104" s="132" t="s">
        <v>22</v>
      </c>
    </row>
    <row r="105" spans="1:6" s="72" customFormat="1" x14ac:dyDescent="0.25">
      <c r="B105" s="512"/>
      <c r="C105" s="106" t="s">
        <v>270</v>
      </c>
      <c r="D105" s="132" t="s">
        <v>0</v>
      </c>
    </row>
    <row r="106" spans="1:6" x14ac:dyDescent="0.25">
      <c r="B106" s="512"/>
      <c r="C106" s="106" t="s">
        <v>270</v>
      </c>
      <c r="D106" s="132" t="s">
        <v>413</v>
      </c>
    </row>
    <row r="107" spans="1:6" x14ac:dyDescent="0.25">
      <c r="B107" s="522" t="s">
        <v>6</v>
      </c>
      <c r="C107" s="106" t="s">
        <v>271</v>
      </c>
      <c r="D107" s="132" t="s">
        <v>22</v>
      </c>
    </row>
    <row r="108" spans="1:6" x14ac:dyDescent="0.25">
      <c r="B108" s="521"/>
      <c r="C108" s="106" t="s">
        <v>271</v>
      </c>
      <c r="D108" s="132" t="s">
        <v>413</v>
      </c>
    </row>
    <row r="109" spans="1:6" x14ac:dyDescent="0.25">
      <c r="B109" s="522" t="s">
        <v>147</v>
      </c>
      <c r="C109" s="106" t="s">
        <v>272</v>
      </c>
      <c r="D109" s="132" t="s">
        <v>22</v>
      </c>
    </row>
    <row r="110" spans="1:6" x14ac:dyDescent="0.25">
      <c r="B110" s="521"/>
      <c r="C110" s="106" t="s">
        <v>272</v>
      </c>
      <c r="D110" s="132" t="s">
        <v>413</v>
      </c>
    </row>
    <row r="111" spans="1:6" x14ac:dyDescent="0.25">
      <c r="B111" s="520" t="s">
        <v>7</v>
      </c>
      <c r="C111" s="106" t="s">
        <v>273</v>
      </c>
      <c r="D111" s="132" t="s">
        <v>0</v>
      </c>
      <c r="F111" s="204"/>
    </row>
    <row r="112" spans="1:6" x14ac:dyDescent="0.25">
      <c r="B112" s="520"/>
      <c r="C112" s="106" t="s">
        <v>273</v>
      </c>
      <c r="D112" s="132" t="s">
        <v>2</v>
      </c>
    </row>
    <row r="113" spans="2:4" x14ac:dyDescent="0.25">
      <c r="B113" s="520"/>
      <c r="C113" s="106" t="s">
        <v>273</v>
      </c>
      <c r="D113" s="132" t="s">
        <v>23</v>
      </c>
    </row>
    <row r="114" spans="2:4" x14ac:dyDescent="0.25">
      <c r="B114" s="520"/>
      <c r="C114" s="106" t="s">
        <v>273</v>
      </c>
      <c r="D114" s="132" t="s">
        <v>1</v>
      </c>
    </row>
    <row r="115" spans="2:4" x14ac:dyDescent="0.25">
      <c r="B115" s="520"/>
      <c r="C115" s="106" t="s">
        <v>273</v>
      </c>
      <c r="D115" s="132" t="s">
        <v>24</v>
      </c>
    </row>
    <row r="116" spans="2:4" x14ac:dyDescent="0.25">
      <c r="B116" s="520"/>
      <c r="C116" s="106" t="s">
        <v>273</v>
      </c>
      <c r="D116" s="132" t="s">
        <v>413</v>
      </c>
    </row>
    <row r="117" spans="2:4" x14ac:dyDescent="0.25">
      <c r="B117" s="521"/>
      <c r="C117" s="106" t="s">
        <v>273</v>
      </c>
      <c r="D117" s="132" t="s">
        <v>103</v>
      </c>
    </row>
    <row r="118" spans="2:4" x14ac:dyDescent="0.25">
      <c r="B118" s="520" t="s">
        <v>8</v>
      </c>
      <c r="C118" s="106" t="s">
        <v>274</v>
      </c>
      <c r="D118" s="132" t="s">
        <v>0</v>
      </c>
    </row>
    <row r="119" spans="2:4" x14ac:dyDescent="0.25">
      <c r="B119" s="520"/>
      <c r="C119" s="106" t="s">
        <v>274</v>
      </c>
      <c r="D119" s="132" t="s">
        <v>2</v>
      </c>
    </row>
    <row r="120" spans="2:4" s="204" customFormat="1" x14ac:dyDescent="0.25">
      <c r="B120" s="520"/>
      <c r="C120" s="106" t="s">
        <v>274</v>
      </c>
      <c r="D120" s="132" t="s">
        <v>23</v>
      </c>
    </row>
    <row r="121" spans="2:4" s="204" customFormat="1" x14ac:dyDescent="0.25">
      <c r="B121" s="520"/>
      <c r="C121" s="106" t="s">
        <v>274</v>
      </c>
      <c r="D121" s="132" t="s">
        <v>1</v>
      </c>
    </row>
    <row r="122" spans="2:4" s="204" customFormat="1" x14ac:dyDescent="0.25">
      <c r="B122" s="520"/>
      <c r="C122" s="106" t="s">
        <v>274</v>
      </c>
      <c r="D122" s="132" t="s">
        <v>24</v>
      </c>
    </row>
    <row r="123" spans="2:4" s="204" customFormat="1" x14ac:dyDescent="0.25">
      <c r="B123" s="520"/>
      <c r="C123" s="106" t="s">
        <v>274</v>
      </c>
      <c r="D123" s="132" t="s">
        <v>413</v>
      </c>
    </row>
    <row r="124" spans="2:4" s="204" customFormat="1" x14ac:dyDescent="0.25">
      <c r="B124" s="521"/>
      <c r="C124" s="106" t="s">
        <v>274</v>
      </c>
      <c r="D124" s="132" t="s">
        <v>103</v>
      </c>
    </row>
    <row r="125" spans="2:4" s="204" customFormat="1" x14ac:dyDescent="0.25">
      <c r="B125" s="522" t="s">
        <v>896</v>
      </c>
      <c r="C125" s="106" t="s">
        <v>898</v>
      </c>
      <c r="D125" s="132" t="s">
        <v>22</v>
      </c>
    </row>
    <row r="126" spans="2:4" x14ac:dyDescent="0.25">
      <c r="B126" s="523"/>
      <c r="C126" s="106" t="s">
        <v>898</v>
      </c>
      <c r="D126" s="132" t="s">
        <v>413</v>
      </c>
    </row>
    <row r="127" spans="2:4" s="204" customFormat="1" x14ac:dyDescent="0.25">
      <c r="B127" s="524"/>
      <c r="C127" s="106" t="s">
        <v>898</v>
      </c>
      <c r="D127" s="132" t="s">
        <v>103</v>
      </c>
    </row>
    <row r="128" spans="2:4" s="204" customFormat="1" x14ac:dyDescent="0.25">
      <c r="B128" s="522" t="s">
        <v>165</v>
      </c>
      <c r="C128" s="106" t="s">
        <v>275</v>
      </c>
      <c r="D128" s="132" t="s">
        <v>9</v>
      </c>
    </row>
    <row r="129" spans="1:4" s="204" customFormat="1" x14ac:dyDescent="0.25">
      <c r="B129" s="521"/>
      <c r="C129" s="106" t="s">
        <v>275</v>
      </c>
      <c r="D129" s="132" t="s">
        <v>413</v>
      </c>
    </row>
    <row r="130" spans="1:4" s="204" customFormat="1" x14ac:dyDescent="0.25">
      <c r="B130" s="522" t="s">
        <v>166</v>
      </c>
      <c r="C130" s="106" t="s">
        <v>276</v>
      </c>
      <c r="D130" s="132" t="s">
        <v>9</v>
      </c>
    </row>
    <row r="131" spans="1:4" s="204" customFormat="1" x14ac:dyDescent="0.25">
      <c r="B131" s="521"/>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14" t="s">
        <v>216</v>
      </c>
      <c r="E171" s="515"/>
      <c r="F171" s="515"/>
      <c r="G171" s="516"/>
    </row>
    <row r="172" spans="1:7" x14ac:dyDescent="0.25">
      <c r="B172" s="37" t="s">
        <v>132</v>
      </c>
      <c r="C172" s="38" t="s">
        <v>215</v>
      </c>
      <c r="D172" s="151" t="s">
        <v>374</v>
      </c>
      <c r="E172" s="39" t="s">
        <v>121</v>
      </c>
      <c r="F172" s="39" t="s">
        <v>156</v>
      </c>
      <c r="G172" s="39" t="s">
        <v>4</v>
      </c>
    </row>
    <row r="173" spans="1:7" x14ac:dyDescent="0.25">
      <c r="B173" s="517" t="s">
        <v>264</v>
      </c>
      <c r="C173" s="56" t="s">
        <v>5</v>
      </c>
      <c r="D173" s="15">
        <v>1</v>
      </c>
      <c r="E173" s="15"/>
      <c r="F173" s="40">
        <f>D173+E173</f>
        <v>1</v>
      </c>
      <c r="G173" s="15"/>
    </row>
    <row r="174" spans="1:7" x14ac:dyDescent="0.25">
      <c r="B174" s="525"/>
      <c r="C174" s="55" t="s">
        <v>254</v>
      </c>
      <c r="D174" s="15">
        <v>0.75</v>
      </c>
      <c r="E174" s="15">
        <v>0.25</v>
      </c>
      <c r="F174" s="108">
        <f t="shared" ref="F174:F194" si="0">D174+E174</f>
        <v>1</v>
      </c>
      <c r="G174" s="15"/>
    </row>
    <row r="175" spans="1:7" x14ac:dyDescent="0.25">
      <c r="B175" s="525"/>
      <c r="C175" s="56" t="s">
        <v>6</v>
      </c>
      <c r="D175" s="15">
        <v>0.65</v>
      </c>
      <c r="E175" s="15">
        <v>0.35</v>
      </c>
      <c r="F175" s="108">
        <f t="shared" si="0"/>
        <v>1</v>
      </c>
      <c r="G175" s="15"/>
    </row>
    <row r="176" spans="1:7" x14ac:dyDescent="0.25">
      <c r="B176" s="525"/>
      <c r="C176" s="56" t="s">
        <v>147</v>
      </c>
      <c r="D176" s="15">
        <v>0.65</v>
      </c>
      <c r="E176" s="15">
        <v>0.35</v>
      </c>
      <c r="F176" s="108">
        <f t="shared" si="0"/>
        <v>1</v>
      </c>
      <c r="G176" s="41"/>
    </row>
    <row r="177" spans="2:7" s="204" customFormat="1" x14ac:dyDescent="0.25">
      <c r="B177" s="525"/>
      <c r="C177" s="452" t="s">
        <v>896</v>
      </c>
      <c r="D177" s="82"/>
      <c r="E177" s="82">
        <v>1</v>
      </c>
      <c r="F177" s="108">
        <f t="shared" si="0"/>
        <v>1</v>
      </c>
      <c r="G177" s="41"/>
    </row>
    <row r="178" spans="2:7" s="204" customFormat="1" x14ac:dyDescent="0.25">
      <c r="B178" s="517" t="s">
        <v>265</v>
      </c>
      <c r="C178" s="56" t="s">
        <v>5</v>
      </c>
      <c r="D178" s="82">
        <v>1</v>
      </c>
      <c r="E178" s="82"/>
      <c r="F178" s="108">
        <f t="shared" si="0"/>
        <v>1</v>
      </c>
      <c r="G178" s="41"/>
    </row>
    <row r="179" spans="2:7" s="204" customFormat="1" x14ac:dyDescent="0.25">
      <c r="B179" s="525"/>
      <c r="C179" s="133" t="s">
        <v>254</v>
      </c>
      <c r="D179" s="82">
        <v>0.75</v>
      </c>
      <c r="E179" s="82">
        <v>0.25</v>
      </c>
      <c r="F179" s="108">
        <f t="shared" si="0"/>
        <v>1</v>
      </c>
      <c r="G179" s="41"/>
    </row>
    <row r="180" spans="2:7" x14ac:dyDescent="0.25">
      <c r="B180" s="525"/>
      <c r="C180" s="56" t="s">
        <v>7</v>
      </c>
      <c r="D180" s="82"/>
      <c r="E180" s="82">
        <v>1</v>
      </c>
      <c r="F180" s="108">
        <f t="shared" si="0"/>
        <v>1</v>
      </c>
      <c r="G180" s="15"/>
    </row>
    <row r="181" spans="2:7" x14ac:dyDescent="0.25">
      <c r="B181" s="518"/>
      <c r="C181" s="56" t="s">
        <v>8</v>
      </c>
      <c r="D181" s="82"/>
      <c r="E181" s="82">
        <v>1</v>
      </c>
      <c r="F181" s="108">
        <f t="shared" si="0"/>
        <v>1</v>
      </c>
      <c r="G181" s="15"/>
    </row>
    <row r="182" spans="2:7" x14ac:dyDescent="0.25">
      <c r="B182" s="517" t="s">
        <v>262</v>
      </c>
      <c r="C182" s="42" t="s">
        <v>7</v>
      </c>
      <c r="D182" s="15"/>
      <c r="E182" s="15">
        <v>1</v>
      </c>
      <c r="F182" s="108">
        <f t="shared" si="0"/>
        <v>1</v>
      </c>
      <c r="G182" s="41"/>
    </row>
    <row r="183" spans="2:7" x14ac:dyDescent="0.25">
      <c r="B183" s="518"/>
      <c r="C183" s="42" t="s">
        <v>8</v>
      </c>
      <c r="D183" s="15"/>
      <c r="E183" s="15">
        <v>1</v>
      </c>
      <c r="F183" s="108">
        <f t="shared" si="0"/>
        <v>1</v>
      </c>
      <c r="G183" s="41"/>
    </row>
    <row r="184" spans="2:7" x14ac:dyDescent="0.25">
      <c r="B184" s="517" t="s">
        <v>266</v>
      </c>
      <c r="C184" s="56" t="s">
        <v>165</v>
      </c>
      <c r="D184" s="15"/>
      <c r="E184" s="15">
        <v>1</v>
      </c>
      <c r="F184" s="108">
        <f t="shared" si="0"/>
        <v>1</v>
      </c>
      <c r="G184" s="41"/>
    </row>
    <row r="185" spans="2:7" x14ac:dyDescent="0.25">
      <c r="B185" s="518"/>
      <c r="C185" s="56" t="s">
        <v>166</v>
      </c>
      <c r="D185" s="15"/>
      <c r="E185" s="15"/>
      <c r="F185" s="108">
        <f t="shared" si="0"/>
        <v>0</v>
      </c>
      <c r="G185" s="15">
        <v>1</v>
      </c>
    </row>
    <row r="186" spans="2:7" x14ac:dyDescent="0.25">
      <c r="B186" s="532" t="s">
        <v>263</v>
      </c>
      <c r="C186" s="56" t="s">
        <v>5</v>
      </c>
      <c r="D186" s="15">
        <v>1</v>
      </c>
      <c r="E186" s="15"/>
      <c r="F186" s="108">
        <f t="shared" si="0"/>
        <v>1</v>
      </c>
      <c r="G186" s="15"/>
    </row>
    <row r="187" spans="2:7" s="72" customFormat="1" x14ac:dyDescent="0.25">
      <c r="B187" s="532"/>
      <c r="C187" s="133" t="s">
        <v>254</v>
      </c>
      <c r="D187" s="82">
        <v>0.75</v>
      </c>
      <c r="E187" s="82">
        <v>0.25</v>
      </c>
      <c r="F187" s="108">
        <f t="shared" si="0"/>
        <v>1</v>
      </c>
      <c r="G187" s="82"/>
    </row>
    <row r="188" spans="2:7" x14ac:dyDescent="0.25">
      <c r="B188" s="532"/>
      <c r="C188" s="56" t="s">
        <v>6</v>
      </c>
      <c r="D188" s="15">
        <v>0.65</v>
      </c>
      <c r="E188" s="15">
        <v>0.35</v>
      </c>
      <c r="F188" s="108">
        <f t="shared" si="0"/>
        <v>1</v>
      </c>
      <c r="G188" s="36"/>
    </row>
    <row r="189" spans="2:7" s="204" customFormat="1" x14ac:dyDescent="0.25">
      <c r="B189" s="532"/>
      <c r="C189" s="56" t="s">
        <v>147</v>
      </c>
      <c r="D189" s="82">
        <v>0.65</v>
      </c>
      <c r="E189" s="82">
        <v>0.35</v>
      </c>
      <c r="F189" s="108">
        <f t="shared" si="0"/>
        <v>1</v>
      </c>
      <c r="G189" s="36"/>
    </row>
    <row r="190" spans="2:7" s="204" customFormat="1" x14ac:dyDescent="0.25">
      <c r="B190" s="532"/>
      <c r="C190" s="56" t="s">
        <v>7</v>
      </c>
      <c r="D190" s="82"/>
      <c r="E190" s="82">
        <v>1</v>
      </c>
      <c r="F190" s="108">
        <f t="shared" si="0"/>
        <v>1</v>
      </c>
      <c r="G190" s="36"/>
    </row>
    <row r="191" spans="2:7" s="204" customFormat="1" x14ac:dyDescent="0.25">
      <c r="B191" s="532"/>
      <c r="C191" s="56" t="s">
        <v>8</v>
      </c>
      <c r="D191" s="82"/>
      <c r="E191" s="82">
        <v>1</v>
      </c>
      <c r="F191" s="108">
        <f t="shared" si="0"/>
        <v>1</v>
      </c>
      <c r="G191" s="36"/>
    </row>
    <row r="192" spans="2:7" s="204" customFormat="1" x14ac:dyDescent="0.25">
      <c r="B192" s="532"/>
      <c r="C192" s="56" t="s">
        <v>165</v>
      </c>
      <c r="D192" s="82"/>
      <c r="E192" s="82">
        <v>1</v>
      </c>
      <c r="F192" s="108">
        <f t="shared" si="0"/>
        <v>1</v>
      </c>
      <c r="G192" s="36"/>
    </row>
    <row r="193" spans="1:7" s="204" customFormat="1" x14ac:dyDescent="0.25">
      <c r="B193" s="532"/>
      <c r="C193" s="56" t="s">
        <v>166</v>
      </c>
      <c r="D193" s="82"/>
      <c r="E193" s="82"/>
      <c r="F193" s="108">
        <f t="shared" ref="F193" si="1">D193+E193</f>
        <v>0</v>
      </c>
      <c r="G193" s="82">
        <v>1</v>
      </c>
    </row>
    <row r="194" spans="1:7" s="204" customFormat="1" x14ac:dyDescent="0.25">
      <c r="B194" s="532"/>
      <c r="C194" s="452" t="s">
        <v>896</v>
      </c>
      <c r="D194" s="82"/>
      <c r="E194" s="82">
        <v>1</v>
      </c>
      <c r="F194" s="108">
        <f t="shared" si="0"/>
        <v>1</v>
      </c>
      <c r="G194" s="82"/>
    </row>
    <row r="195" spans="1:7" s="204" customFormat="1" x14ac:dyDescent="0.25">
      <c r="B195" s="517" t="s">
        <v>899</v>
      </c>
      <c r="C195" s="56" t="s">
        <v>6</v>
      </c>
      <c r="D195" s="82">
        <v>0.65</v>
      </c>
      <c r="E195" s="82">
        <v>0.35</v>
      </c>
      <c r="F195" s="108">
        <f t="shared" ref="F195:F199" si="2">D195+E195</f>
        <v>1</v>
      </c>
      <c r="G195" s="41"/>
    </row>
    <row r="196" spans="1:7" s="204" customFormat="1" x14ac:dyDescent="0.25">
      <c r="B196" s="525"/>
      <c r="C196" s="56" t="s">
        <v>147</v>
      </c>
      <c r="D196" s="82">
        <v>0.65</v>
      </c>
      <c r="E196" s="82">
        <v>0.35</v>
      </c>
      <c r="F196" s="108">
        <f t="shared" si="2"/>
        <v>1</v>
      </c>
      <c r="G196" s="41"/>
    </row>
    <row r="197" spans="1:7" s="204" customFormat="1" x14ac:dyDescent="0.25">
      <c r="B197" s="525"/>
      <c r="C197" s="56" t="s">
        <v>7</v>
      </c>
      <c r="D197" s="82"/>
      <c r="E197" s="82">
        <v>1</v>
      </c>
      <c r="F197" s="108">
        <f t="shared" si="2"/>
        <v>1</v>
      </c>
      <c r="G197" s="41"/>
    </row>
    <row r="198" spans="1:7" s="204" customFormat="1" x14ac:dyDescent="0.25">
      <c r="B198" s="525"/>
      <c r="C198" s="56" t="s">
        <v>8</v>
      </c>
      <c r="D198" s="82"/>
      <c r="E198" s="82">
        <v>1</v>
      </c>
      <c r="F198" s="108">
        <f t="shared" si="2"/>
        <v>1</v>
      </c>
      <c r="G198" s="41"/>
    </row>
    <row r="199" spans="1:7" s="204" customFormat="1" x14ac:dyDescent="0.25">
      <c r="B199" s="51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9" t="s">
        <v>12</v>
      </c>
      <c r="C218" s="106" t="s">
        <v>520</v>
      </c>
      <c r="D218" s="174" t="s">
        <v>885</v>
      </c>
      <c r="E218" s="156" t="s">
        <v>387</v>
      </c>
    </row>
    <row r="219" spans="1:5" s="204" customFormat="1" x14ac:dyDescent="0.25">
      <c r="B219" s="520"/>
      <c r="C219" s="106" t="s">
        <v>520</v>
      </c>
      <c r="D219" s="174" t="s">
        <v>382</v>
      </c>
      <c r="E219" s="156" t="s">
        <v>388</v>
      </c>
    </row>
    <row r="220" spans="1:5" s="204" customFormat="1" x14ac:dyDescent="0.25">
      <c r="B220" s="521"/>
      <c r="C220" s="106" t="s">
        <v>520</v>
      </c>
      <c r="D220" s="174" t="s">
        <v>383</v>
      </c>
      <c r="E220" s="156" t="s">
        <v>585</v>
      </c>
    </row>
    <row r="221" spans="1:5" s="204" customFormat="1" x14ac:dyDescent="0.25">
      <c r="B221" s="519" t="s">
        <v>387</v>
      </c>
      <c r="C221" s="106" t="s">
        <v>539</v>
      </c>
      <c r="D221" s="174" t="s">
        <v>902</v>
      </c>
      <c r="E221" s="156" t="s">
        <v>387</v>
      </c>
    </row>
    <row r="222" spans="1:5" s="204" customFormat="1" x14ac:dyDescent="0.25">
      <c r="B222" s="520"/>
      <c r="C222" s="106" t="s">
        <v>539</v>
      </c>
      <c r="D222" s="174" t="s">
        <v>13</v>
      </c>
      <c r="E222" s="156" t="s">
        <v>387</v>
      </c>
    </row>
    <row r="223" spans="1:5" s="204" customFormat="1" x14ac:dyDescent="0.25">
      <c r="B223" s="520"/>
      <c r="C223" s="106" t="s">
        <v>539</v>
      </c>
      <c r="D223" s="174" t="s">
        <v>382</v>
      </c>
      <c r="E223" s="156" t="s">
        <v>388</v>
      </c>
    </row>
    <row r="224" spans="1:5" s="204" customFormat="1" x14ac:dyDescent="0.25">
      <c r="B224" s="521"/>
      <c r="C224" s="106" t="s">
        <v>539</v>
      </c>
      <c r="D224" s="174" t="s">
        <v>383</v>
      </c>
      <c r="E224" s="156" t="s">
        <v>585</v>
      </c>
    </row>
    <row r="225" spans="1:5" s="204" customFormat="1" x14ac:dyDescent="0.25">
      <c r="B225" s="519" t="s">
        <v>388</v>
      </c>
      <c r="C225" s="106" t="s">
        <v>540</v>
      </c>
      <c r="D225" s="174" t="s">
        <v>384</v>
      </c>
      <c r="E225" s="156" t="s">
        <v>585</v>
      </c>
    </row>
    <row r="226" spans="1:5" s="204" customFormat="1" x14ac:dyDescent="0.25">
      <c r="B226" s="520"/>
      <c r="C226" s="106" t="s">
        <v>540</v>
      </c>
      <c r="D226" s="174" t="s">
        <v>385</v>
      </c>
      <c r="E226" s="156" t="s">
        <v>585</v>
      </c>
    </row>
    <row r="227" spans="1:5" s="204" customFormat="1" x14ac:dyDescent="0.25">
      <c r="B227" s="520"/>
      <c r="C227" s="106" t="s">
        <v>540</v>
      </c>
      <c r="D227" s="174" t="s">
        <v>386</v>
      </c>
      <c r="E227" s="156" t="s">
        <v>388</v>
      </c>
    </row>
    <row r="228" spans="1:5" s="204" customFormat="1" x14ac:dyDescent="0.25">
      <c r="B228" s="520"/>
      <c r="C228" s="106" t="s">
        <v>540</v>
      </c>
      <c r="D228" s="152" t="s">
        <v>382</v>
      </c>
      <c r="E228" s="156" t="s">
        <v>388</v>
      </c>
    </row>
    <row r="229" spans="1:5" s="204" customFormat="1" x14ac:dyDescent="0.25">
      <c r="B229" s="520"/>
      <c r="C229" s="106" t="s">
        <v>540</v>
      </c>
      <c r="D229" s="152" t="s">
        <v>383</v>
      </c>
      <c r="E229" s="157" t="s">
        <v>585</v>
      </c>
    </row>
    <row r="230" spans="1:5" s="204" customFormat="1" x14ac:dyDescent="0.25">
      <c r="B230" s="521"/>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2" t="s">
        <v>12</v>
      </c>
      <c r="C235" s="35" t="s">
        <v>299</v>
      </c>
      <c r="D235" s="174" t="s">
        <v>901</v>
      </c>
      <c r="E235" s="156" t="s">
        <v>387</v>
      </c>
    </row>
    <row r="236" spans="1:5" s="72" customFormat="1" x14ac:dyDescent="0.25">
      <c r="B236" s="512"/>
      <c r="C236" s="106" t="s">
        <v>299</v>
      </c>
      <c r="D236" s="174" t="s">
        <v>584</v>
      </c>
      <c r="E236" s="156" t="s">
        <v>387</v>
      </c>
    </row>
    <row r="237" spans="1:5" x14ac:dyDescent="0.25">
      <c r="B237" s="512" t="s">
        <v>387</v>
      </c>
      <c r="C237" s="106" t="s">
        <v>522</v>
      </c>
      <c r="D237" s="174" t="s">
        <v>153</v>
      </c>
      <c r="E237" s="156" t="s">
        <v>387</v>
      </c>
    </row>
    <row r="238" spans="1:5" x14ac:dyDescent="0.25">
      <c r="B238" s="512"/>
      <c r="C238" s="106" t="s">
        <v>522</v>
      </c>
      <c r="D238" s="174" t="s">
        <v>380</v>
      </c>
      <c r="E238" s="156" t="s">
        <v>387</v>
      </c>
    </row>
    <row r="239" spans="1:5" s="204" customFormat="1" x14ac:dyDescent="0.25">
      <c r="B239" s="512"/>
      <c r="C239" s="106" t="s">
        <v>522</v>
      </c>
      <c r="D239" s="174" t="s">
        <v>381</v>
      </c>
      <c r="E239" s="156" t="s">
        <v>387</v>
      </c>
    </row>
    <row r="240" spans="1:5" x14ac:dyDescent="0.25">
      <c r="B240" s="512"/>
      <c r="C240" s="106" t="s">
        <v>522</v>
      </c>
      <c r="D240" s="174" t="s">
        <v>584</v>
      </c>
      <c r="E240" s="156" t="s">
        <v>387</v>
      </c>
    </row>
    <row r="241" spans="1:5" x14ac:dyDescent="0.25">
      <c r="B241" s="512" t="s">
        <v>388</v>
      </c>
      <c r="C241" s="106" t="s">
        <v>523</v>
      </c>
      <c r="D241" s="174" t="s">
        <v>886</v>
      </c>
      <c r="E241" s="156" t="s">
        <v>388</v>
      </c>
    </row>
    <row r="242" spans="1:5" x14ac:dyDescent="0.25">
      <c r="B242" s="512"/>
      <c r="C242" s="106" t="s">
        <v>523</v>
      </c>
      <c r="D242" s="174" t="s">
        <v>887</v>
      </c>
      <c r="E242" s="156" t="s">
        <v>388</v>
      </c>
    </row>
    <row r="243" spans="1:5" s="204" customFormat="1" x14ac:dyDescent="0.25">
      <c r="B243" s="512"/>
      <c r="C243" s="106" t="s">
        <v>523</v>
      </c>
      <c r="D243" s="174" t="s">
        <v>888</v>
      </c>
      <c r="E243" s="156" t="s">
        <v>388</v>
      </c>
    </row>
    <row r="244" spans="1:5" s="204" customFormat="1" ht="26.25" x14ac:dyDescent="0.25">
      <c r="B244" s="512"/>
      <c r="C244" s="106" t="s">
        <v>523</v>
      </c>
      <c r="D244" s="174" t="s">
        <v>889</v>
      </c>
      <c r="E244" s="156" t="s">
        <v>388</v>
      </c>
    </row>
    <row r="245" spans="1:5" s="204" customFormat="1" ht="26.25" x14ac:dyDescent="0.25">
      <c r="B245" s="512"/>
      <c r="C245" s="106" t="s">
        <v>523</v>
      </c>
      <c r="D245" s="174" t="s">
        <v>890</v>
      </c>
      <c r="E245" s="156" t="s">
        <v>388</v>
      </c>
    </row>
    <row r="246" spans="1:5" x14ac:dyDescent="0.25">
      <c r="B246" s="512"/>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30" t="s">
        <v>388</v>
      </c>
      <c r="C259" s="106" t="s">
        <v>524</v>
      </c>
      <c r="D259" s="136" t="s">
        <v>154</v>
      </c>
    </row>
    <row r="260" spans="2:4" x14ac:dyDescent="0.25">
      <c r="B260" s="530"/>
      <c r="C260" s="106" t="s">
        <v>524</v>
      </c>
      <c r="D260" s="136" t="s">
        <v>390</v>
      </c>
    </row>
    <row r="261" spans="2:4" x14ac:dyDescent="0.25">
      <c r="B261" s="530"/>
      <c r="C261" s="106" t="s">
        <v>524</v>
      </c>
      <c r="D261" s="136" t="s">
        <v>864</v>
      </c>
    </row>
    <row r="262" spans="2:4" x14ac:dyDescent="0.25">
      <c r="B262" s="530"/>
      <c r="C262" s="106" t="s">
        <v>524</v>
      </c>
      <c r="D262" s="136" t="s">
        <v>865</v>
      </c>
    </row>
    <row r="263" spans="2:4" ht="24" customHeight="1" x14ac:dyDescent="0.25">
      <c r="B263" s="530"/>
      <c r="C263" s="106" t="s">
        <v>524</v>
      </c>
      <c r="D263" s="136" t="s">
        <v>391</v>
      </c>
    </row>
    <row r="264" spans="2:4" x14ac:dyDescent="0.25">
      <c r="B264" s="530"/>
      <c r="C264" s="106" t="s">
        <v>524</v>
      </c>
      <c r="D264" s="136" t="s">
        <v>392</v>
      </c>
    </row>
    <row r="265" spans="2:4" s="204" customFormat="1" x14ac:dyDescent="0.25">
      <c r="B265" s="530"/>
      <c r="C265" s="106" t="s">
        <v>524</v>
      </c>
      <c r="D265" s="136" t="s">
        <v>393</v>
      </c>
    </row>
    <row r="266" spans="2:4" s="204" customFormat="1" x14ac:dyDescent="0.25">
      <c r="B266" s="530"/>
      <c r="C266" s="106" t="s">
        <v>524</v>
      </c>
      <c r="D266" s="136" t="s">
        <v>866</v>
      </c>
    </row>
    <row r="267" spans="2:4" s="204" customFormat="1" x14ac:dyDescent="0.25">
      <c r="B267" s="530"/>
      <c r="C267" s="106" t="s">
        <v>524</v>
      </c>
      <c r="D267" s="136" t="s">
        <v>867</v>
      </c>
    </row>
    <row r="268" spans="2:4" s="204" customFormat="1" x14ac:dyDescent="0.25">
      <c r="B268" s="530"/>
      <c r="C268" s="106" t="s">
        <v>524</v>
      </c>
      <c r="D268" s="136" t="s">
        <v>868</v>
      </c>
    </row>
    <row r="269" spans="2:4" x14ac:dyDescent="0.25">
      <c r="B269" s="530"/>
      <c r="C269" s="106" t="s">
        <v>524</v>
      </c>
      <c r="D269" s="136" t="s">
        <v>869</v>
      </c>
    </row>
    <row r="270" spans="2:4" x14ac:dyDescent="0.25">
      <c r="B270" s="530"/>
      <c r="C270" s="106" t="s">
        <v>524</v>
      </c>
      <c r="D270" s="136" t="s">
        <v>870</v>
      </c>
    </row>
    <row r="271" spans="2:4" ht="26.25" customHeight="1" x14ac:dyDescent="0.25">
      <c r="B271" s="530"/>
      <c r="C271" s="106" t="s">
        <v>524</v>
      </c>
      <c r="D271" s="136" t="s">
        <v>871</v>
      </c>
    </row>
    <row r="272" spans="2:4" x14ac:dyDescent="0.25">
      <c r="B272" s="530"/>
      <c r="C272" s="106" t="s">
        <v>524</v>
      </c>
      <c r="D272" s="136" t="s">
        <v>394</v>
      </c>
    </row>
    <row r="273" spans="1:4" x14ac:dyDescent="0.25">
      <c r="B273" s="530"/>
      <c r="C273" s="106" t="s">
        <v>524</v>
      </c>
      <c r="D273" s="136" t="s">
        <v>872</v>
      </c>
    </row>
    <row r="274" spans="1:4" ht="35.25" customHeight="1" x14ac:dyDescent="0.25">
      <c r="B274" s="530"/>
      <c r="C274" s="106" t="s">
        <v>524</v>
      </c>
      <c r="D274" s="136" t="s">
        <v>873</v>
      </c>
    </row>
    <row r="275" spans="1:4" ht="21.75" customHeight="1" x14ac:dyDescent="0.25">
      <c r="B275" s="530" t="s">
        <v>387</v>
      </c>
      <c r="C275" s="106" t="s">
        <v>525</v>
      </c>
      <c r="D275" s="60" t="s">
        <v>154</v>
      </c>
    </row>
    <row r="276" spans="1:4" x14ac:dyDescent="0.25">
      <c r="B276" s="530"/>
      <c r="C276" s="106" t="s">
        <v>525</v>
      </c>
      <c r="D276" s="136" t="s">
        <v>155</v>
      </c>
    </row>
    <row r="277" spans="1:4" s="204" customFormat="1" x14ac:dyDescent="0.25">
      <c r="B277" s="530"/>
      <c r="C277" s="106" t="s">
        <v>525</v>
      </c>
      <c r="D277" s="136" t="s">
        <v>874</v>
      </c>
    </row>
    <row r="278" spans="1:4" s="204" customFormat="1" x14ac:dyDescent="0.25">
      <c r="B278" s="530"/>
      <c r="C278" s="106" t="s">
        <v>525</v>
      </c>
      <c r="D278" s="136" t="s">
        <v>875</v>
      </c>
    </row>
    <row r="279" spans="1:4" ht="15" customHeight="1" x14ac:dyDescent="0.25">
      <c r="B279" s="530"/>
      <c r="C279" s="106" t="s">
        <v>525</v>
      </c>
      <c r="D279" s="136" t="s">
        <v>395</v>
      </c>
    </row>
    <row r="280" spans="1:4" x14ac:dyDescent="0.25">
      <c r="B280" s="530"/>
      <c r="C280" s="106" t="s">
        <v>525</v>
      </c>
      <c r="D280" s="136" t="s">
        <v>396</v>
      </c>
    </row>
    <row r="281" spans="1:4" x14ac:dyDescent="0.25">
      <c r="B281" s="530"/>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f>IF(Exploitation!C115="Solide",Exploitation!B115,0)</f>
        <v>0</v>
      </c>
      <c r="C317" s="243">
        <f>ROW(B317)</f>
        <v>317</v>
      </c>
      <c r="D317" s="243" t="str">
        <f>IF(B317&lt;&gt;0,B317,IF(B318&lt;&gt;0,B318,IF(B319&lt;&gt;0,B319,IF(B320&lt;&gt;0,B320,IF(B321&lt;&gt;0,B321,IF(B322&lt;&gt;0,B322,IF(B323&lt;&gt;0,B323,IF(B324&lt;&gt;0,B324,IF(B325&lt;&gt;0,B325,IF(B326&lt;&gt;0,B326,""))))))))))</f>
        <v>CHAMP</v>
      </c>
      <c r="E317" s="243">
        <f>IF(ISERROR(VLOOKUP(D317,$B$317:$C$326,2,FALSE)),"",VLOOKUP(D317,$B$317:$C$326,2,FALSE))</f>
        <v>322</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
      </c>
      <c r="E318" s="243" t="str">
        <f t="shared" ref="E318:E326" ca="1" si="8">IF(ISERROR(VLOOKUP(D318,$B$317:$C$326,2,FALSE)),"",VLOOKUP(D318,$B$317:$C$326,2,FALSE))</f>
        <v/>
      </c>
      <c r="F318" s="340">
        <f t="shared" ref="F318:F326" ca="1" si="9">IF(D318="",0,1)</f>
        <v>0</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t="str">
        <f>IF(Exploitation!C123="Solide",Exploitation!B123,0)</f>
        <v>CHAMP</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f>IF(Exploitation!C124="Solide",Exploitation!B124,0)</f>
        <v>0</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1</v>
      </c>
    </row>
    <row r="328" spans="1:6" s="204" customFormat="1" x14ac:dyDescent="0.25">
      <c r="A328" s="3" t="s">
        <v>531</v>
      </c>
      <c r="E328" s="154" t="s">
        <v>653</v>
      </c>
      <c r="F328" s="154" t="str">
        <f ca="1">"'Donnees d''entrée'!D"&amp;B315&amp;":D" &amp; B315+IF(F327=0,0,F327-1)</f>
        <v>'Donnees d''entrée'!D317:D317</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t="str">
        <f>IF(Exploitation!C123="Solide",Exploitation!B123,0)</f>
        <v>CHAMP</v>
      </c>
      <c r="C379" s="243">
        <f>ROW(B379)</f>
        <v>379</v>
      </c>
      <c r="D379" s="243" t="str">
        <f>IF(B379&lt;&gt;0,B379,IF(B380&lt;&gt;0,B380,IF(B381&lt;&gt;0,B381,IF(B382&lt;&gt;0,B382,IF(B383&lt;&gt;0,B383,"")))))</f>
        <v>CHAMP</v>
      </c>
      <c r="E379" s="243">
        <f>IF(ISERROR(VLOOKUP(D379,$B$379:$C$383,2,FALSE)),"",VLOOKUP(D379,$B$379:$C$383,2,FALSE))</f>
        <v>379</v>
      </c>
    </row>
    <row r="380" spans="1:5" s="204" customFormat="1" x14ac:dyDescent="0.25">
      <c r="B380" s="242">
        <f>IF(Exploitation!C124="Solide",Exploitation!B124,0)</f>
        <v>0</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13" t="s">
        <v>289</v>
      </c>
      <c r="B397" s="513"/>
      <c r="C397" s="513"/>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2" t="s">
        <v>387</v>
      </c>
      <c r="C499" s="63" t="s">
        <v>153</v>
      </c>
      <c r="D499" s="138">
        <v>1</v>
      </c>
    </row>
    <row r="500" spans="1:4" x14ac:dyDescent="0.25">
      <c r="B500" s="531"/>
      <c r="C500" s="63" t="s">
        <v>380</v>
      </c>
      <c r="D500" s="138">
        <v>1</v>
      </c>
    </row>
    <row r="501" spans="1:4" x14ac:dyDescent="0.25">
      <c r="B501" s="531"/>
      <c r="C501" s="63" t="s">
        <v>381</v>
      </c>
      <c r="D501" s="138">
        <v>1</v>
      </c>
    </row>
    <row r="502" spans="1:4" x14ac:dyDescent="0.25">
      <c r="B502" s="512" t="s">
        <v>388</v>
      </c>
      <c r="C502" s="140" t="str">
        <f>'Donnees d''entrée'!D241</f>
        <v>Fosse non couverte (extérieure)</v>
      </c>
      <c r="D502" s="138">
        <v>1</v>
      </c>
    </row>
    <row r="503" spans="1:4" s="204" customFormat="1" x14ac:dyDescent="0.25">
      <c r="B503" s="512"/>
      <c r="C503" s="140" t="str">
        <f>'Donnees d''entrée'!D242</f>
        <v>Fosse non couverte alimentée par le bas (extérieure)</v>
      </c>
      <c r="D503" s="138">
        <v>0.6</v>
      </c>
    </row>
    <row r="504" spans="1:4" s="204" customFormat="1" x14ac:dyDescent="0.25">
      <c r="B504" s="512"/>
      <c r="C504" s="140" t="str">
        <f>'Donnees d''entrée'!D243</f>
        <v>Couvertures rigide et souple</v>
      </c>
      <c r="D504" s="138">
        <v>0.19999999999999996</v>
      </c>
    </row>
    <row r="505" spans="1:4" ht="30" x14ac:dyDescent="0.25">
      <c r="B505" s="531"/>
      <c r="C505" s="140" t="str">
        <f>'Donnees d''entrée'!D244</f>
        <v>Croûte naturelle, paille, balles en plastique, matériaux légers en vrac</v>
      </c>
      <c r="D505" s="138">
        <v>0.6</v>
      </c>
    </row>
    <row r="506" spans="1:4" ht="45" x14ac:dyDescent="0.25">
      <c r="B506" s="531"/>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26" t="s">
        <v>388</v>
      </c>
      <c r="C521" s="11" t="str">
        <f t="shared" ref="C521:C543" si="30">D259</f>
        <v>Inconnue</v>
      </c>
      <c r="D521" s="62">
        <v>1</v>
      </c>
    </row>
    <row r="522" spans="2:4" x14ac:dyDescent="0.25">
      <c r="B522" s="527"/>
      <c r="C522" s="79" t="str">
        <f t="shared" si="30"/>
        <v>Buse palette (sans incorporation)</v>
      </c>
      <c r="D522" s="62">
        <v>1</v>
      </c>
    </row>
    <row r="523" spans="2:4" x14ac:dyDescent="0.25">
      <c r="B523" s="527"/>
      <c r="C523" s="79" t="str">
        <f t="shared" si="30"/>
        <v>Buse palette (incorporation immédiate)</v>
      </c>
      <c r="D523" s="62">
        <v>0.2</v>
      </c>
    </row>
    <row r="524" spans="2:4" s="204" customFormat="1" x14ac:dyDescent="0.25">
      <c r="B524" s="527"/>
      <c r="C524" s="79" t="str">
        <f t="shared" si="30"/>
        <v>Buse palette &lt;4h (incorporation dans les 4h)</v>
      </c>
      <c r="D524" s="138">
        <v>0.3</v>
      </c>
    </row>
    <row r="525" spans="2:4" s="204" customFormat="1" x14ac:dyDescent="0.25">
      <c r="B525" s="527"/>
      <c r="C525" s="79" t="str">
        <f t="shared" si="30"/>
        <v>Buse palette &lt;12h (incorporation dans les 12h)</v>
      </c>
      <c r="D525" s="138">
        <v>0.4</v>
      </c>
    </row>
    <row r="526" spans="2:4" s="204" customFormat="1" x14ac:dyDescent="0.25">
      <c r="B526" s="527"/>
      <c r="C526" s="79" t="str">
        <f t="shared" si="30"/>
        <v>Buse palette &lt;24h (incorporation dans les 24h)</v>
      </c>
      <c r="D526" s="138">
        <v>0.55000000000000004</v>
      </c>
    </row>
    <row r="527" spans="2:4" s="204" customFormat="1" x14ac:dyDescent="0.25">
      <c r="B527" s="527"/>
      <c r="C527" s="79" t="str">
        <f t="shared" si="30"/>
        <v>Buse palette &gt;24h (incorporation après 24h)</v>
      </c>
      <c r="D527" s="138">
        <v>1</v>
      </c>
    </row>
    <row r="528" spans="2:4" x14ac:dyDescent="0.25">
      <c r="B528" s="527"/>
      <c r="C528" s="79" t="str">
        <f t="shared" si="30"/>
        <v>Pendillards à tubes trainés (sans incorporation)</v>
      </c>
      <c r="D528" s="62">
        <v>0.7</v>
      </c>
    </row>
    <row r="529" spans="2:4" x14ac:dyDescent="0.25">
      <c r="B529" s="527"/>
      <c r="C529" s="79" t="str">
        <f t="shared" si="30"/>
        <v>Pendillards à tubes trainés (incorporation immédiate)</v>
      </c>
      <c r="D529" s="62">
        <v>0.2</v>
      </c>
    </row>
    <row r="530" spans="2:4" ht="30" x14ac:dyDescent="0.25">
      <c r="B530" s="527"/>
      <c r="C530" s="79" t="str">
        <f t="shared" si="30"/>
        <v>Pendillards à tubes trainés &lt;4h (incorporation dans les 4h)</v>
      </c>
      <c r="D530" s="62">
        <v>0.3</v>
      </c>
    </row>
    <row r="531" spans="2:4" ht="30" x14ac:dyDescent="0.25">
      <c r="B531" s="527"/>
      <c r="C531" s="79" t="str">
        <f t="shared" si="30"/>
        <v>Pendillards à tubes trainés &lt;12h (incorporation dans les 12h)</v>
      </c>
      <c r="D531" s="62">
        <v>0.4</v>
      </c>
    </row>
    <row r="532" spans="2:4" ht="30" x14ac:dyDescent="0.25">
      <c r="B532" s="527"/>
      <c r="C532" s="79" t="str">
        <f t="shared" si="30"/>
        <v>Pendillards à tubes trainés &lt;24h (incorporation dans les 24h)</v>
      </c>
      <c r="D532" s="62">
        <v>0.55000000000000004</v>
      </c>
    </row>
    <row r="533" spans="2:4" ht="30" x14ac:dyDescent="0.25">
      <c r="B533" s="527"/>
      <c r="C533" s="79" t="str">
        <f t="shared" si="30"/>
        <v>Pendillards à tubes trainés &gt;24h (incorporation après 24h)</v>
      </c>
      <c r="D533" s="62">
        <v>0.7</v>
      </c>
    </row>
    <row r="534" spans="2:4" x14ac:dyDescent="0.25">
      <c r="B534" s="527"/>
      <c r="C534" s="79" t="str">
        <f t="shared" si="30"/>
        <v>Pendillards à sabots trainés</v>
      </c>
      <c r="D534" s="62">
        <v>0.6</v>
      </c>
    </row>
    <row r="535" spans="2:4" x14ac:dyDescent="0.25">
      <c r="B535" s="527"/>
      <c r="C535" s="79" t="str">
        <f t="shared" si="30"/>
        <v>Injecteur (sillon ouvert)</v>
      </c>
      <c r="D535" s="62">
        <v>0.4</v>
      </c>
    </row>
    <row r="536" spans="2:4" x14ac:dyDescent="0.25">
      <c r="B536" s="528"/>
      <c r="C536" s="79" t="str">
        <f t="shared" si="30"/>
        <v>Enfouisseur (sillon fermé)</v>
      </c>
      <c r="D536" s="62">
        <v>0.2</v>
      </c>
    </row>
    <row r="537" spans="2:4" x14ac:dyDescent="0.25">
      <c r="B537" s="529" t="s">
        <v>402</v>
      </c>
      <c r="C537" s="79" t="str">
        <f t="shared" si="30"/>
        <v>Inconnue</v>
      </c>
      <c r="D537" s="62">
        <v>1</v>
      </c>
    </row>
    <row r="538" spans="2:4" s="204" customFormat="1" x14ac:dyDescent="0.25">
      <c r="B538" s="529"/>
      <c r="C538" s="79" t="str">
        <f t="shared" si="30"/>
        <v>Epandage sans incorporation</v>
      </c>
      <c r="D538" s="138">
        <v>1</v>
      </c>
    </row>
    <row r="539" spans="2:4" s="204" customFormat="1" x14ac:dyDescent="0.25">
      <c r="B539" s="529"/>
      <c r="C539" s="79" t="str">
        <f t="shared" si="30"/>
        <v>Incorporation immédiate</v>
      </c>
      <c r="D539" s="138">
        <v>0.2</v>
      </c>
    </row>
    <row r="540" spans="2:4" s="204" customFormat="1" x14ac:dyDescent="0.25">
      <c r="B540" s="529"/>
      <c r="C540" s="79" t="str">
        <f t="shared" si="30"/>
        <v>Incorporation dans les 4h</v>
      </c>
      <c r="D540" s="138">
        <v>0.3</v>
      </c>
    </row>
    <row r="541" spans="2:4" s="204" customFormat="1" x14ac:dyDescent="0.25">
      <c r="B541" s="529"/>
      <c r="C541" s="79" t="str">
        <f t="shared" si="30"/>
        <v>Incorporation dans les 12h</v>
      </c>
      <c r="D541" s="138">
        <v>0.4</v>
      </c>
    </row>
    <row r="542" spans="2:4" x14ac:dyDescent="0.25">
      <c r="B542" s="529"/>
      <c r="C542" s="79" t="str">
        <f t="shared" si="30"/>
        <v>Incorporation dans les 24h</v>
      </c>
      <c r="D542" s="62">
        <v>0.55000000000000004</v>
      </c>
    </row>
    <row r="543" spans="2:4" ht="15.6" customHeight="1" x14ac:dyDescent="0.25">
      <c r="B543" s="529"/>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33" t="s">
        <v>12</v>
      </c>
      <c r="C551" s="255" t="s">
        <v>901</v>
      </c>
      <c r="D551" s="69">
        <f>IF(ISERROR(VLOOKUP(E551,$C$568:$D$574,2,FALSE)),"",VLOOKUP(E551,$C$568:$D$574,2,FALSE))</f>
        <v>6</v>
      </c>
      <c r="E551" s="228" t="s">
        <v>115</v>
      </c>
      <c r="G551" s="533" t="s">
        <v>12</v>
      </c>
      <c r="H551" s="204" t="s">
        <v>885</v>
      </c>
      <c r="I551" s="142">
        <f>IF(ISERROR(VLOOKUP(J551,$C$568:$D$574,2,FALSE)),"",VLOOKUP(J551,$C$568:$D$574,2,FALSE))</f>
        <v>7</v>
      </c>
      <c r="J551" s="143" t="s">
        <v>404</v>
      </c>
    </row>
    <row r="552" spans="1:10" x14ac:dyDescent="0.25">
      <c r="B552" s="535"/>
      <c r="C552" s="204" t="s">
        <v>584</v>
      </c>
      <c r="D552" s="134">
        <v>0</v>
      </c>
      <c r="G552" s="534"/>
      <c r="H552" s="160" t="s">
        <v>382</v>
      </c>
      <c r="I552" s="134" t="s">
        <v>544</v>
      </c>
      <c r="J552" s="228" t="s">
        <v>115</v>
      </c>
    </row>
    <row r="553" spans="1:10" ht="30" x14ac:dyDescent="0.25">
      <c r="B553" s="512" t="s">
        <v>387</v>
      </c>
      <c r="C553" s="256" t="s">
        <v>153</v>
      </c>
      <c r="D553" s="142">
        <f>IF(ISERROR(VLOOKUP(E553,$C$568:$D$574,2,FALSE)),"",VLOOKUP(E553,$C$568:$D$574,2,FALSE))</f>
        <v>5</v>
      </c>
      <c r="E553" s="143" t="s">
        <v>114</v>
      </c>
      <c r="G553" s="535"/>
      <c r="H553" s="160" t="s">
        <v>383</v>
      </c>
      <c r="I553" s="134" t="s">
        <v>544</v>
      </c>
      <c r="J553" s="143" t="s">
        <v>115</v>
      </c>
    </row>
    <row r="554" spans="1:10" x14ac:dyDescent="0.25">
      <c r="B554" s="512"/>
      <c r="C554" s="163" t="s">
        <v>380</v>
      </c>
      <c r="D554" s="142">
        <f>IF(ISERROR(VLOOKUP(E554,$C$568:$D$574,2,FALSE)),"",VLOOKUP(E554,$C$568:$D$574,2,FALSE))</f>
        <v>5</v>
      </c>
      <c r="E554" s="143" t="s">
        <v>114</v>
      </c>
      <c r="G554" s="519" t="s">
        <v>387</v>
      </c>
      <c r="H554" s="455" t="s">
        <v>902</v>
      </c>
      <c r="I554" s="142">
        <f>IF(ISERROR(VLOOKUP(J554,$C$568:$D$574,2,FALSE)),"",VLOOKUP(J554,$C$568:$D$574,2,FALSE))</f>
        <v>7</v>
      </c>
      <c r="J554" s="410" t="s">
        <v>404</v>
      </c>
    </row>
    <row r="555" spans="1:10" x14ac:dyDescent="0.25">
      <c r="B555" s="512"/>
      <c r="C555" s="163" t="s">
        <v>381</v>
      </c>
      <c r="D555" s="142">
        <f>IF(ISERROR(VLOOKUP(E555,$C$568:$D$574,2,FALSE)),"",VLOOKUP(E555,$C$568:$D$574,2,FALSE))</f>
        <v>5</v>
      </c>
      <c r="E555" s="143" t="s">
        <v>114</v>
      </c>
      <c r="G555" s="520"/>
      <c r="H555" s="63" t="s">
        <v>13</v>
      </c>
      <c r="I555" s="142">
        <f>IF(ISERROR(VLOOKUP(J555,$C$568:$D$574,2,FALSE)),"",VLOOKUP(J555,$C$568:$D$574,2,FALSE))</f>
        <v>7</v>
      </c>
      <c r="J555" s="143" t="s">
        <v>404</v>
      </c>
    </row>
    <row r="556" spans="1:10" x14ac:dyDescent="0.25">
      <c r="B556" s="512"/>
      <c r="C556" s="204" t="s">
        <v>584</v>
      </c>
      <c r="D556" s="134">
        <v>0</v>
      </c>
      <c r="E556" s="143"/>
      <c r="G556" s="521"/>
      <c r="H556" s="160" t="s">
        <v>382</v>
      </c>
      <c r="I556" s="134" t="s">
        <v>544</v>
      </c>
      <c r="J556" s="143"/>
    </row>
    <row r="557" spans="1:10" ht="30" x14ac:dyDescent="0.25">
      <c r="B557" s="512"/>
      <c r="C557" s="164" t="str">
        <f>D241</f>
        <v>Fosse non couverte (extérieure)</v>
      </c>
      <c r="D557" s="142">
        <f>IF(ISERROR(VLOOKUP(E557,$C$568:$D$574,2,FALSE)),"",VLOOKUP(E557,$C$568:$D$574,2,FALSE))</f>
        <v>3</v>
      </c>
      <c r="E557" s="78" t="s">
        <v>119</v>
      </c>
      <c r="G557" s="512" t="s">
        <v>388</v>
      </c>
      <c r="H557" s="160" t="s">
        <v>383</v>
      </c>
      <c r="I557" s="134" t="s">
        <v>544</v>
      </c>
      <c r="J557" s="143"/>
    </row>
    <row r="558" spans="1:10" s="72" customFormat="1" x14ac:dyDescent="0.25">
      <c r="B558" s="519" t="s">
        <v>388</v>
      </c>
      <c r="C558" s="164" t="str">
        <f t="shared" ref="C558:C562" si="31">D242</f>
        <v>Fosse non couverte alimentée par le bas (extérieure)</v>
      </c>
      <c r="D558" s="142">
        <f>IF(ISERROR(VLOOKUP(E558,$C$568:$D$574,2,FALSE)),"",VLOOKUP(E558,$C$568:$D$574,2,FALSE))</f>
        <v>4</v>
      </c>
      <c r="E558" s="229" t="s">
        <v>118</v>
      </c>
      <c r="F558"/>
      <c r="G558" s="512"/>
      <c r="H558" s="140" t="s">
        <v>384</v>
      </c>
      <c r="I558" s="134">
        <v>0</v>
      </c>
      <c r="J558" s="229"/>
    </row>
    <row r="559" spans="1:10" ht="45" x14ac:dyDescent="0.25">
      <c r="B559" s="520"/>
      <c r="C559" s="164" t="str">
        <f t="shared" si="31"/>
        <v>Couvertures rigide et souple</v>
      </c>
      <c r="D559" s="142">
        <f>IF(ISERROR(VLOOKUP(E559,$C$568:$D$574,2,FALSE)),"",VLOOKUP(E559,$C$568:$D$574,2,FALSE))</f>
        <v>4</v>
      </c>
      <c r="E559" s="229" t="s">
        <v>118</v>
      </c>
      <c r="G559" s="512"/>
      <c r="H559" s="140" t="s">
        <v>385</v>
      </c>
      <c r="I559" s="134" t="s">
        <v>544</v>
      </c>
      <c r="J559" s="229"/>
    </row>
    <row r="560" spans="1:10" ht="30" x14ac:dyDescent="0.25">
      <c r="B560" s="520"/>
      <c r="C560" s="164" t="str">
        <f t="shared" si="31"/>
        <v>Croûte naturelle, paille, balles en plastique, matériaux légers en vrac</v>
      </c>
      <c r="D560" s="142">
        <f t="shared" ref="D560:D561" si="32">IF(ISERROR(VLOOKUP(E560,$C$568:$D$574,2,FALSE)),"",VLOOKUP(E560,$C$568:$D$574,2,FALSE))</f>
        <v>4</v>
      </c>
      <c r="E560" s="409" t="s">
        <v>118</v>
      </c>
      <c r="G560" s="512"/>
      <c r="H560" s="140" t="s">
        <v>386</v>
      </c>
      <c r="I560" s="134" t="s">
        <v>544</v>
      </c>
      <c r="J560" s="229"/>
    </row>
    <row r="561" spans="1:23" ht="45" x14ac:dyDescent="0.25">
      <c r="B561" s="520"/>
      <c r="C561" s="164" t="str">
        <f t="shared" si="31"/>
        <v>Couvertures souples flottantes, plaques géométriques en plastique, couvertures gonflables, feuilles de plastique souples</v>
      </c>
      <c r="D561" s="142">
        <f t="shared" si="32"/>
        <v>4</v>
      </c>
      <c r="E561" s="409" t="s">
        <v>118</v>
      </c>
      <c r="G561" s="512"/>
      <c r="H561" s="160" t="s">
        <v>900</v>
      </c>
      <c r="I561" s="134">
        <v>0</v>
      </c>
      <c r="J561" s="463"/>
    </row>
    <row r="562" spans="1:23" ht="15.6" customHeight="1" x14ac:dyDescent="0.25">
      <c r="B562" s="520"/>
      <c r="C562" s="164" t="str">
        <f t="shared" si="31"/>
        <v>Pas de stockage</v>
      </c>
      <c r="D562" s="134">
        <v>0</v>
      </c>
      <c r="E562" s="200"/>
      <c r="G562" s="512"/>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2"/>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G554:G556"/>
    <mergeCell ref="G551:G553"/>
    <mergeCell ref="B553:B557"/>
    <mergeCell ref="B551:B552"/>
    <mergeCell ref="B558:B562"/>
    <mergeCell ref="G557:G563"/>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topLeftCell="A61"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AK149"/>
  <sheetViews>
    <sheetView showGridLines="0" topLeftCell="A13" zoomScale="130" zoomScaleNormal="130" workbookViewId="0">
      <selection activeCell="C18" sqref="C18"/>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42" t="s">
        <v>20</v>
      </c>
      <c r="C2" s="542"/>
    </row>
    <row r="3" spans="1:37" x14ac:dyDescent="0.25">
      <c r="A3"/>
      <c r="B3" s="541" t="s">
        <v>19</v>
      </c>
      <c r="C3" s="541"/>
    </row>
    <row r="4" spans="1:37" s="205" customFormat="1" x14ac:dyDescent="0.25">
      <c r="A4" s="204"/>
      <c r="B4" s="539" t="s">
        <v>634</v>
      </c>
      <c r="C4" s="539"/>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40" t="s">
        <v>644</v>
      </c>
      <c r="C5" s="540"/>
    </row>
    <row r="6" spans="1:37" s="205" customFormat="1" x14ac:dyDescent="0.25">
      <c r="A6" s="204"/>
      <c r="B6" s="544" t="s">
        <v>643</v>
      </c>
      <c r="C6" s="544"/>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43" t="s">
        <v>447</v>
      </c>
      <c r="C7" s="543"/>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36" t="s">
        <v>480</v>
      </c>
      <c r="D14" s="537"/>
      <c r="E14" s="537"/>
      <c r="F14" s="537"/>
      <c r="G14" s="537"/>
      <c r="H14" s="537"/>
      <c r="I14" s="537"/>
      <c r="J14" s="538"/>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973</v>
      </c>
      <c r="C16" s="191">
        <v>1320</v>
      </c>
      <c r="D16" s="117" t="s">
        <v>8</v>
      </c>
      <c r="E16" s="117" t="s">
        <v>377</v>
      </c>
      <c r="F16" s="117" t="s">
        <v>857</v>
      </c>
      <c r="G16" s="117" t="s">
        <v>863</v>
      </c>
      <c r="H16" s="472"/>
      <c r="I16" s="117" t="s">
        <v>458</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x14ac:dyDescent="0.25">
      <c r="A17" s="179">
        <v>2</v>
      </c>
      <c r="B17" s="124"/>
      <c r="C17" s="191"/>
      <c r="D17" s="117"/>
      <c r="E17" s="117"/>
      <c r="F17" s="117"/>
      <c r="G17" s="117"/>
      <c r="H17" s="472"/>
      <c r="I17" s="117"/>
      <c r="J17" s="184" t="str">
        <f t="shared" si="0"/>
        <v/>
      </c>
      <c r="N17" s="241"/>
      <c r="O17"/>
      <c r="P17" s="76"/>
      <c r="Q17" s="203"/>
      <c r="U17" s="203"/>
      <c r="W17" s="204"/>
      <c r="X17" s="204"/>
      <c r="AC17" s="453" t="str">
        <f>IF(ISERROR(VLOOKUP(D17,'Donnees d''entrée'!$B$39:$C$47,2,FALSE)),"",VLOOKUP(D17,'Donnees d''entrée'!$B$39:$C$47,2,FALSE))</f>
        <v/>
      </c>
      <c r="AD17" s="453" t="str">
        <f>IF(ISERROR(VLOOKUP(D17,'Donnees d''entrée'!$B$39:$D$47,3,FALSE)),"",VLOOKUP(D17,'Donnees d''entrée'!$B$39:$D$47,3,FALSE))</f>
        <v/>
      </c>
      <c r="AE17" s="453"/>
      <c r="AJ17" s="342"/>
      <c r="AK17" s="342"/>
    </row>
    <row r="18" spans="1:37" x14ac:dyDescent="0.25">
      <c r="A18" s="179">
        <v>3</v>
      </c>
      <c r="B18" s="124"/>
      <c r="C18" s="191"/>
      <c r="D18" s="117"/>
      <c r="E18" s="117"/>
      <c r="F18" s="117"/>
      <c r="G18" s="117"/>
      <c r="H18" s="472"/>
      <c r="I18" s="117"/>
      <c r="J18" s="184" t="str">
        <f t="shared" si="0"/>
        <v/>
      </c>
      <c r="N18" s="241"/>
      <c r="O18"/>
      <c r="P18" s="76"/>
      <c r="Q18" s="203"/>
      <c r="U18" s="203"/>
      <c r="W18" s="204"/>
      <c r="X18" s="204"/>
      <c r="AC18" s="453" t="str">
        <f>IF(ISERROR(VLOOKUP(D18,'Donnees d''entrée'!$B$39:$C$47,2,FALSE)),"",VLOOKUP(D18,'Donnees d''entrée'!$B$39:$C$47,2,FALSE))</f>
        <v/>
      </c>
      <c r="AD18" s="453" t="str">
        <f>IF(ISERROR(VLOOKUP(D18,'Donnees d''entrée'!$B$39:$D$47,3,FALSE)),"",VLOOKUP(D18,'Donnees d''entrée'!$B$39:$D$47,3,FALSE))</f>
        <v/>
      </c>
      <c r="AE18" s="453"/>
      <c r="AJ18" s="342"/>
      <c r="AK18" s="342"/>
    </row>
    <row r="19" spans="1:37"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47" t="s">
        <v>196</v>
      </c>
      <c r="D38" s="547"/>
      <c r="E38" s="547"/>
      <c r="F38" s="547"/>
      <c r="G38" s="547" t="s">
        <v>197</v>
      </c>
      <c r="H38" s="547"/>
      <c r="I38" s="547"/>
      <c r="J38" s="547"/>
      <c r="K38" s="547" t="s">
        <v>236</v>
      </c>
      <c r="L38" s="547"/>
      <c r="M38" s="547"/>
      <c r="N38" s="547"/>
      <c r="O38" s="547" t="s">
        <v>454</v>
      </c>
      <c r="P38" s="547"/>
      <c r="Q38" s="547"/>
      <c r="R38" s="547"/>
      <c r="S38" s="547" t="s">
        <v>455</v>
      </c>
      <c r="T38" s="547"/>
      <c r="U38" s="547"/>
      <c r="V38" s="547"/>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ht="25.5" x14ac:dyDescent="0.25">
      <c r="A40" s="179">
        <v>1</v>
      </c>
      <c r="B40" s="333" t="str">
        <f t="shared" ref="B40:B53" si="1">IF(B16="","",B16)</f>
        <v>P1</v>
      </c>
      <c r="C40" s="149" t="s">
        <v>24</v>
      </c>
      <c r="D40" s="129" t="s">
        <v>801</v>
      </c>
      <c r="E40" s="128">
        <v>22.22</v>
      </c>
      <c r="F40" s="128">
        <v>7.5</v>
      </c>
      <c r="G40" s="149"/>
      <c r="H40" s="129"/>
      <c r="I40" s="128"/>
      <c r="J40" s="128"/>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x14ac:dyDescent="0.25">
      <c r="A41" s="179">
        <v>2</v>
      </c>
      <c r="B41" s="333" t="str">
        <f t="shared" si="1"/>
        <v/>
      </c>
      <c r="C41" s="149"/>
      <c r="D41" s="129"/>
      <c r="E41" s="128"/>
      <c r="F41" s="128"/>
      <c r="G41" s="149"/>
      <c r="H41" s="129"/>
      <c r="I41" s="128"/>
      <c r="J41" s="128"/>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x14ac:dyDescent="0.25">
      <c r="A42" s="179">
        <v>3</v>
      </c>
      <c r="B42" s="333" t="str">
        <f t="shared" si="1"/>
        <v/>
      </c>
      <c r="C42" s="149"/>
      <c r="D42" s="129"/>
      <c r="E42" s="128"/>
      <c r="F42" s="128"/>
      <c r="G42" s="149"/>
      <c r="H42" s="129"/>
      <c r="I42" s="128"/>
      <c r="J42" s="128"/>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47" t="s">
        <v>196</v>
      </c>
      <c r="D62" s="547"/>
      <c r="E62" s="547"/>
      <c r="F62" s="547"/>
      <c r="G62" s="550" t="s">
        <v>197</v>
      </c>
      <c r="H62" s="551"/>
      <c r="I62" s="551"/>
      <c r="J62" s="552"/>
      <c r="K62" s="547" t="s">
        <v>236</v>
      </c>
      <c r="L62" s="547"/>
      <c r="M62" s="547"/>
      <c r="N62" s="547"/>
      <c r="O62" s="547" t="s">
        <v>454</v>
      </c>
      <c r="P62" s="547"/>
      <c r="Q62" s="547"/>
      <c r="R62" s="547"/>
      <c r="S62" s="547" t="s">
        <v>455</v>
      </c>
      <c r="T62" s="547"/>
      <c r="U62" s="547"/>
      <c r="V62" s="547"/>
      <c r="W62" s="154"/>
      <c r="X62" s="154"/>
      <c r="Y62" s="154"/>
      <c r="Z62" s="154"/>
      <c r="AA62" s="154"/>
      <c r="AB62" s="154"/>
      <c r="AC62" s="154"/>
      <c r="AD62" s="154"/>
      <c r="AE62" s="154"/>
      <c r="AF62" s="154"/>
      <c r="AG62" s="154"/>
      <c r="AH62" s="154"/>
      <c r="AI62" s="154"/>
    </row>
    <row r="63" spans="1:35" customFormat="1" ht="36.6" customHeight="1" x14ac:dyDescent="0.25">
      <c r="A63" s="76"/>
      <c r="B63" s="553" t="s">
        <v>16</v>
      </c>
      <c r="C63" s="556" t="s">
        <v>129</v>
      </c>
      <c r="D63" s="548" t="s">
        <v>776</v>
      </c>
      <c r="E63" s="548"/>
      <c r="F63" s="549" t="s">
        <v>152</v>
      </c>
      <c r="G63" s="557" t="s">
        <v>130</v>
      </c>
      <c r="H63" s="548" t="s">
        <v>776</v>
      </c>
      <c r="I63" s="548"/>
      <c r="J63" s="549" t="s">
        <v>152</v>
      </c>
      <c r="K63" s="145" t="s">
        <v>131</v>
      </c>
      <c r="L63" s="548" t="s">
        <v>776</v>
      </c>
      <c r="M63" s="548"/>
      <c r="N63" s="549" t="s">
        <v>152</v>
      </c>
      <c r="O63" s="212" t="s">
        <v>465</v>
      </c>
      <c r="P63" s="548" t="s">
        <v>776</v>
      </c>
      <c r="Q63" s="548"/>
      <c r="R63" s="549" t="s">
        <v>152</v>
      </c>
      <c r="S63" s="212" t="s">
        <v>467</v>
      </c>
      <c r="T63" s="548" t="s">
        <v>776</v>
      </c>
      <c r="U63" s="548"/>
      <c r="V63" s="549" t="s">
        <v>152</v>
      </c>
      <c r="W63" s="154"/>
      <c r="X63" s="154"/>
      <c r="Y63" s="154"/>
      <c r="Z63" s="154"/>
      <c r="AA63" s="154"/>
      <c r="AB63" s="154"/>
      <c r="AC63" s="154"/>
      <c r="AD63" s="154"/>
      <c r="AE63" s="154"/>
      <c r="AF63" s="154"/>
      <c r="AG63" s="154"/>
      <c r="AH63" s="154"/>
      <c r="AI63" s="154"/>
    </row>
    <row r="64" spans="1:35" customFormat="1" ht="24.95" customHeight="1" x14ac:dyDescent="0.25">
      <c r="A64" s="76"/>
      <c r="B64" s="553"/>
      <c r="C64" s="547"/>
      <c r="D64" s="116" t="s">
        <v>198</v>
      </c>
      <c r="E64" s="116" t="s">
        <v>199</v>
      </c>
      <c r="F64" s="549"/>
      <c r="G64" s="556"/>
      <c r="H64" s="116" t="s">
        <v>198</v>
      </c>
      <c r="I64" s="116" t="s">
        <v>199</v>
      </c>
      <c r="J64" s="549"/>
      <c r="K64" s="146"/>
      <c r="L64" s="116" t="s">
        <v>198</v>
      </c>
      <c r="M64" s="116" t="s">
        <v>199</v>
      </c>
      <c r="N64" s="549"/>
      <c r="O64" s="211"/>
      <c r="P64" s="116" t="s">
        <v>198</v>
      </c>
      <c r="Q64" s="116" t="s">
        <v>199</v>
      </c>
      <c r="R64" s="549"/>
      <c r="S64" s="211"/>
      <c r="T64" s="116" t="s">
        <v>198</v>
      </c>
      <c r="U64" s="116" t="s">
        <v>199</v>
      </c>
      <c r="V64" s="549"/>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v>
      </c>
      <c r="C65" s="344" t="str">
        <f>IF(D40="","",D40)</f>
        <v>Poulet standard - Standard</v>
      </c>
      <c r="D65" s="259">
        <f>IF(ISERROR(VLOOKUP(C65,ITAVI_2013_volailles!$C$3:$I$79,7,FALSE))/1000,"",VLOOKUP(C65,ITAVI_2013_volailles!$C$3:$I$79,7,FALSE)/1000)</f>
        <v>4.9000000000000002E-2</v>
      </c>
      <c r="E65" s="128">
        <v>3.3000000000000002E-2</v>
      </c>
      <c r="F65" s="149">
        <v>100</v>
      </c>
      <c r="G65" s="344" t="str">
        <f>IF(H40="","",H40)</f>
        <v/>
      </c>
      <c r="H65" s="259" t="str">
        <f>IF(ISERROR(VLOOKUP(G65,ITAVI_2013_volailles!$C$3:$I$79,7,FALSE)/1000),"",VLOOKUP(G65,ITAVI_2013_volailles!$C$3:$I$79,7,FALSE)/1000)</f>
        <v/>
      </c>
      <c r="I65" s="128"/>
      <c r="J65" s="149"/>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customHeight="1" x14ac:dyDescent="0.25">
      <c r="A66" s="179">
        <v>2</v>
      </c>
      <c r="B66" s="333" t="str">
        <f t="shared" si="3"/>
        <v/>
      </c>
      <c r="C66" s="344" t="str">
        <f t="shared" ref="C66:C79" si="4">IF(D41="","",D41)</f>
        <v/>
      </c>
      <c r="D66" s="259" t="str">
        <f>IF(ISERROR(VLOOKUP(C66,ITAVI_2013_volailles!$C$3:$I$79,7,FALSE))/1000,"",VLOOKUP(C66,ITAVI_2013_volailles!$C$3:$I$79,7,FALSE)/1000)</f>
        <v/>
      </c>
      <c r="E66" s="128"/>
      <c r="F66" s="149"/>
      <c r="G66" s="344" t="str">
        <f t="shared" ref="G66:G79" si="5">IF(H41="","",H41)</f>
        <v/>
      </c>
      <c r="H66" s="259" t="str">
        <f>IF(ISERROR(VLOOKUP(G66,ITAVI_2013_volailles!$C$3:$I$79,7,FALSE)/1000),"",VLOOKUP(G66,ITAVI_2013_volailles!$C$3:$I$79,7,FALSE)/1000)</f>
        <v/>
      </c>
      <c r="I66" s="128"/>
      <c r="J66" s="149"/>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x14ac:dyDescent="0.25">
      <c r="A67" s="179">
        <v>3</v>
      </c>
      <c r="B67" s="333" t="str">
        <f t="shared" si="3"/>
        <v/>
      </c>
      <c r="C67" s="344" t="str">
        <f t="shared" si="4"/>
        <v/>
      </c>
      <c r="D67" s="259" t="str">
        <f>IF(ISERROR(VLOOKUP(C67,ITAVI_2013_volailles!$C$3:$I$79,7,FALSE))/1000,"",VLOOKUP(C67,ITAVI_2013_volailles!$C$3:$I$79,7,FALSE)/1000)</f>
        <v/>
      </c>
      <c r="E67" s="128"/>
      <c r="F67" s="149"/>
      <c r="G67" s="344" t="str">
        <f t="shared" si="5"/>
        <v/>
      </c>
      <c r="H67" s="259" t="str">
        <f>IF(ISERROR(VLOOKUP(G67,ITAVI_2013_volailles!$C$3:$I$79,7,FALSE)/1000),"",VLOOKUP(G67,ITAVI_2013_volailles!$C$3:$I$79,7,FALSE)/1000)</f>
        <v/>
      </c>
      <c r="I67" s="128"/>
      <c r="J67" s="149"/>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53" t="s">
        <v>16</v>
      </c>
      <c r="C87" s="547" t="s">
        <v>196</v>
      </c>
      <c r="D87" s="547"/>
      <c r="E87" s="547"/>
      <c r="F87" s="547" t="s">
        <v>197</v>
      </c>
      <c r="G87" s="547"/>
      <c r="H87" s="547"/>
      <c r="I87" s="547" t="s">
        <v>236</v>
      </c>
      <c r="J87" s="547"/>
      <c r="K87" s="547"/>
      <c r="L87" s="547" t="s">
        <v>454</v>
      </c>
      <c r="M87" s="547"/>
      <c r="N87" s="547"/>
      <c r="O87" s="547" t="s">
        <v>455</v>
      </c>
      <c r="P87" s="547"/>
      <c r="Q87" s="547"/>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53"/>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v>
      </c>
      <c r="C89" s="343"/>
      <c r="D89" s="343" t="s">
        <v>974</v>
      </c>
      <c r="E89" s="343"/>
      <c r="F89" s="343"/>
      <c r="G89" s="343"/>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d''entrée'!D317:D317</v>
      </c>
      <c r="AC89" s="154" t="str">
        <f ca="1">'Donnees d''entrée'!$F$353</f>
        <v>'Donnees d''entrée'!D342:D342</v>
      </c>
      <c r="AD89" s="154"/>
      <c r="AE89" s="154"/>
      <c r="AF89" s="154"/>
      <c r="AG89" s="154"/>
      <c r="AH89" s="154"/>
      <c r="AI89" s="154"/>
    </row>
    <row r="90" spans="1:35" s="204" customFormat="1" x14ac:dyDescent="0.25">
      <c r="A90" s="179">
        <v>2</v>
      </c>
      <c r="B90" s="333" t="str">
        <f t="shared" ref="B90:B108" si="13">IF(B17="","",B17)</f>
        <v/>
      </c>
      <c r="C90" s="343"/>
      <c r="D90" s="343"/>
      <c r="E90" s="343"/>
      <c r="F90" s="343"/>
      <c r="G90" s="343"/>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d''entrée'!D317:D317</v>
      </c>
      <c r="AC90" s="154" t="str">
        <f ca="1">'Donnees d''entrée'!$F$353</f>
        <v>'Donnees d''entrée'!D342:D342</v>
      </c>
      <c r="AD90" s="154"/>
      <c r="AE90" s="154"/>
      <c r="AF90" s="154"/>
      <c r="AG90" s="154"/>
      <c r="AH90" s="154"/>
      <c r="AI90" s="154"/>
    </row>
    <row r="91" spans="1:35" s="204" customFormat="1" x14ac:dyDescent="0.25">
      <c r="A91" s="179">
        <v>3</v>
      </c>
      <c r="B91" s="333" t="str">
        <f t="shared" si="13"/>
        <v/>
      </c>
      <c r="C91" s="343"/>
      <c r="D91" s="343"/>
      <c r="E91" s="343"/>
      <c r="F91" s="343"/>
      <c r="G91" s="343"/>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d''entrée'!D317:D317</v>
      </c>
      <c r="AC91" s="154" t="str">
        <f ca="1">'Donnees d''entrée'!$F$353</f>
        <v>'Donnees d''entrée'!D342:D342</v>
      </c>
      <c r="AD91" s="154"/>
      <c r="AE91" s="154"/>
      <c r="AF91" s="154"/>
      <c r="AG91" s="154"/>
      <c r="AH91" s="154"/>
      <c r="AI91" s="154"/>
    </row>
    <row r="92" spans="1:35" s="204" customFormat="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d''entrée'!D317:D317</v>
      </c>
      <c r="AC92" s="154" t="str">
        <f ca="1">'Donnees d''entrée'!$F$353</f>
        <v>'Donnees d''entrée'!D342:D342</v>
      </c>
      <c r="AD92" s="154"/>
      <c r="AE92" s="154"/>
      <c r="AF92" s="154"/>
      <c r="AG92" s="154"/>
      <c r="AH92" s="154"/>
      <c r="AI92" s="154"/>
    </row>
    <row r="93" spans="1:35" s="204" customFormat="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d''entrée'!D317:D317</v>
      </c>
      <c r="AC93" s="154" t="str">
        <f ca="1">'Donnees d''entrée'!$F$353</f>
        <v>'Donnees d''entrée'!D342:D342</v>
      </c>
      <c r="AD93" s="154"/>
      <c r="AE93" s="154"/>
      <c r="AF93" s="154"/>
      <c r="AG93" s="154"/>
      <c r="AH93" s="154"/>
      <c r="AI93" s="154"/>
    </row>
    <row r="94" spans="1:35" s="204" customFormat="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d''entrée'!D317:D317</v>
      </c>
      <c r="AC94" s="154" t="str">
        <f ca="1">'Donnees d''entrée'!$F$353</f>
        <v>'Donnees d''entrée'!D342:D342</v>
      </c>
      <c r="AD94" s="154"/>
      <c r="AE94" s="154"/>
      <c r="AF94" s="154"/>
      <c r="AG94" s="154"/>
      <c r="AH94" s="154"/>
      <c r="AI94" s="154"/>
    </row>
    <row r="95" spans="1:35" s="204" customFormat="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d''entrée'!D317:D317</v>
      </c>
      <c r="AC95" s="154" t="str">
        <f ca="1">'Donnees d''entrée'!$F$353</f>
        <v>'Donnees d''entrée'!D342:D342</v>
      </c>
      <c r="AD95" s="154"/>
      <c r="AE95" s="154"/>
      <c r="AF95" s="154"/>
      <c r="AG95" s="154"/>
      <c r="AH95" s="154"/>
      <c r="AI95" s="154"/>
    </row>
    <row r="96" spans="1:35" s="204" customFormat="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d''entrée'!D317:D317</v>
      </c>
      <c r="AC96" s="154" t="str">
        <f ca="1">'Donnees d''entrée'!$F$353</f>
        <v>'Donnees d''entrée'!D342:D342</v>
      </c>
      <c r="AD96" s="154"/>
      <c r="AE96" s="154"/>
      <c r="AF96" s="154"/>
      <c r="AG96" s="154"/>
      <c r="AH96" s="154"/>
      <c r="AI96" s="154"/>
    </row>
    <row r="97" spans="1:35" s="204" customFormat="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d''entrée'!D317:D317</v>
      </c>
      <c r="AC97" s="154" t="str">
        <f ca="1">'Donnees d''entrée'!$F$353</f>
        <v>'Donnees d''entrée'!D342:D342</v>
      </c>
      <c r="AD97" s="154"/>
      <c r="AE97" s="154"/>
      <c r="AF97" s="154"/>
      <c r="AG97" s="154"/>
      <c r="AH97" s="154"/>
      <c r="AI97" s="154"/>
    </row>
    <row r="98" spans="1:35" s="204" customFormat="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d''entrée'!D317:D317</v>
      </c>
      <c r="AC98" s="154" t="str">
        <f ca="1">'Donnees d''entrée'!$F$353</f>
        <v>'Donnees d''entrée'!D342:D342</v>
      </c>
      <c r="AD98" s="154"/>
      <c r="AE98" s="154"/>
      <c r="AF98" s="154"/>
      <c r="AG98" s="154"/>
      <c r="AH98" s="154"/>
      <c r="AI98" s="154"/>
    </row>
    <row r="99" spans="1:35" s="204" customFormat="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d''entrée'!D317:D317</v>
      </c>
      <c r="AC99" s="154" t="str">
        <f ca="1">'Donnees d''entrée'!$F$353</f>
        <v>'Donnees d''entrée'!D342:D342</v>
      </c>
      <c r="AD99" s="154"/>
      <c r="AE99" s="154"/>
      <c r="AF99" s="154"/>
      <c r="AG99" s="154"/>
      <c r="AH99" s="154"/>
      <c r="AI99" s="154"/>
    </row>
    <row r="100" spans="1:35" s="204" customFormat="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d''entrée'!D317:D317</v>
      </c>
      <c r="AC100" s="154" t="str">
        <f ca="1">'Donnees d''entrée'!$F$353</f>
        <v>'Donnees d''entrée'!D342:D342</v>
      </c>
      <c r="AD100" s="154"/>
      <c r="AE100" s="154"/>
      <c r="AF100" s="154"/>
      <c r="AG100" s="154"/>
      <c r="AH100" s="154"/>
      <c r="AI100" s="154"/>
    </row>
    <row r="101" spans="1:35" s="204" customFormat="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d''entrée'!D317:D317</v>
      </c>
      <c r="AC101" s="154" t="str">
        <f ca="1">'Donnees d''entrée'!$F$353</f>
        <v>'Donnees d''entrée'!D342:D342</v>
      </c>
      <c r="AD101" s="154"/>
      <c r="AE101" s="154"/>
      <c r="AF101" s="154"/>
      <c r="AG101" s="154"/>
      <c r="AH101" s="154"/>
      <c r="AI101" s="154"/>
    </row>
    <row r="102" spans="1:35" s="204" customFormat="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d''entrée'!D317:D317</v>
      </c>
      <c r="AC102" s="154" t="str">
        <f ca="1">'Donnees d''entrée'!$F$353</f>
        <v>'Donnees d''entrée'!D342:D342</v>
      </c>
      <c r="AD102" s="154"/>
      <c r="AE102" s="154"/>
      <c r="AF102" s="154"/>
      <c r="AG102" s="154"/>
      <c r="AH102" s="154"/>
      <c r="AI102" s="154"/>
    </row>
    <row r="103" spans="1:35" s="204" customFormat="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d''entrée'!D317:D317</v>
      </c>
      <c r="AC103" s="154" t="str">
        <f ca="1">'Donnees d''entrée'!$F$353</f>
        <v>'Donnees d''entrée'!D342:D342</v>
      </c>
      <c r="AD103" s="154"/>
      <c r="AE103" s="154"/>
      <c r="AF103" s="154"/>
      <c r="AG103" s="154"/>
      <c r="AH103" s="154"/>
      <c r="AI103" s="154"/>
    </row>
    <row r="104" spans="1:35" s="204" customFormat="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d''entrée'!D317:D317</v>
      </c>
      <c r="AC104" s="154" t="str">
        <f ca="1">'Donnees d''entrée'!$F$353</f>
        <v>'Donnees d''entrée'!D342:D342</v>
      </c>
      <c r="AD104" s="154"/>
      <c r="AE104" s="154"/>
      <c r="AF104" s="154"/>
      <c r="AG104" s="154"/>
      <c r="AH104" s="154"/>
      <c r="AI104" s="154"/>
    </row>
    <row r="105" spans="1:35" s="204" customFormat="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d''entrée'!D317:D317</v>
      </c>
      <c r="AC105" s="154" t="str">
        <f ca="1">'Donnees d''entrée'!$F$353</f>
        <v>'Donnees d''entrée'!D342:D342</v>
      </c>
      <c r="AD105" s="154"/>
      <c r="AE105" s="154"/>
      <c r="AF105" s="154"/>
      <c r="AG105" s="154"/>
      <c r="AH105" s="154"/>
      <c r="AI105" s="154"/>
    </row>
    <row r="106" spans="1:35" s="204" customFormat="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d''entrée'!D317:D317</v>
      </c>
      <c r="AC106" s="154" t="str">
        <f ca="1">'Donnees d''entrée'!$F$353</f>
        <v>'Donnees d''entrée'!D342:D342</v>
      </c>
      <c r="AD106" s="154"/>
      <c r="AE106" s="154"/>
      <c r="AF106" s="154"/>
      <c r="AG106" s="154"/>
      <c r="AH106" s="154"/>
      <c r="AI106" s="154"/>
    </row>
    <row r="107" spans="1:35" s="204" customFormat="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d''entrée'!D317:D317</v>
      </c>
      <c r="AC107" s="154" t="str">
        <f ca="1">'Donnees d''entrée'!$F$353</f>
        <v>'Donnees d''entrée'!D342:D342</v>
      </c>
      <c r="AD107" s="154"/>
      <c r="AE107" s="154"/>
      <c r="AF107" s="154"/>
      <c r="AG107" s="154"/>
      <c r="AH107" s="154"/>
      <c r="AI107" s="154"/>
    </row>
    <row r="108" spans="1:35" s="204" customFormat="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d''entrée'!D317:D317</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537</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54" t="s">
        <v>777</v>
      </c>
      <c r="G113" s="555"/>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x14ac:dyDescent="0.25">
      <c r="A115" s="179">
        <v>1</v>
      </c>
      <c r="B115" s="464"/>
      <c r="C115" s="185"/>
      <c r="D115" s="166"/>
      <c r="E115" s="130" t="str">
        <f>IF(ISERROR(VLOOKUP(D115,liste_efflu_sortant_trait,2,FALSE)),"",VLOOKUP(D115,liste_efflu_sortant_trait,2,FALSE))</f>
        <v/>
      </c>
      <c r="F115" s="377"/>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
      </c>
    </row>
    <row r="116" spans="1:36" customFormat="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6"/>
      <c r="B120" s="546"/>
      <c r="C120" s="546"/>
      <c r="D120" s="546"/>
      <c r="E120" s="546"/>
      <c r="F120" s="546"/>
      <c r="G120" s="546"/>
      <c r="H120" s="546"/>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t="s">
        <v>974</v>
      </c>
      <c r="C123" s="185" t="s">
        <v>387</v>
      </c>
      <c r="D123" s="88" t="s">
        <v>153</v>
      </c>
      <c r="E123" s="120">
        <f>SUMIF($C$133:$C$142,$B123,$G$133:$G$142)</f>
        <v>1</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stock_solide</v>
      </c>
    </row>
    <row r="124" spans="1:36" s="204" customFormat="1" x14ac:dyDescent="0.25">
      <c r="A124" s="235">
        <v>2</v>
      </c>
      <c r="B124" s="464"/>
      <c r="C124" s="185"/>
      <c r="D124" s="88"/>
      <c r="E124" s="120">
        <f t="shared" ref="E124:E127" si="14">SUMIF($C$133:$C$142,$B124,$G$133:$G$142)</f>
        <v>0</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
      </c>
    </row>
    <row r="125" spans="1:36" s="204" customFormat="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5" t="s">
        <v>778</v>
      </c>
      <c r="B129" s="545"/>
      <c r="C129" s="545"/>
      <c r="D129" s="545"/>
      <c r="E129" s="545"/>
      <c r="F129" s="545"/>
      <c r="G129" s="545"/>
      <c r="H129" s="545"/>
      <c r="I129" s="545"/>
      <c r="J129" s="545"/>
      <c r="K129" s="545"/>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975</v>
      </c>
      <c r="C133" s="336" t="s">
        <v>974</v>
      </c>
      <c r="D133" s="130" t="str">
        <f>IF(ISERROR(IF(VLOOKUP(C133,$B$123:$D$127,2,FALSE)="Fientes","Solide",VLOOKUP(C133,$B$123:$D$127,2,FALSE))),"",IF(VLOOKUP(C133,$B$123:$D$127,2,FALSE)="Fientes","Solide",VLOOKUP(C133,$B$123:$D$127,2,FALSE)))</f>
        <v>Solide</v>
      </c>
      <c r="E133" s="166" t="s">
        <v>462</v>
      </c>
      <c r="F133" s="166" t="s">
        <v>395</v>
      </c>
      <c r="G133" s="87">
        <v>1</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x14ac:dyDescent="0.25">
      <c r="A134" s="179">
        <v>2</v>
      </c>
      <c r="B134" s="464"/>
      <c r="C134" s="336"/>
      <c r="D134" s="130" t="str">
        <f t="shared" ref="D134:D142" si="15">IF(ISERROR(IF(VLOOKUP(C134,$B$123:$D$127,2,FALSE)="Fientes","Solide",VLOOKUP(C134,$B$123:$D$127,2,FALSE))),"",IF(VLOOKUP(C134,$B$123:$D$127,2,FALSE)="Fientes","Solide",VLOOKUP(C134,$B$123:$D$127,2,FALSE)))</f>
        <v/>
      </c>
      <c r="E134" s="166"/>
      <c r="F134" s="166"/>
      <c r="G134" s="87"/>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
      </c>
    </row>
    <row r="135" spans="1:35"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K38:N38"/>
    <mergeCell ref="C63:C64"/>
    <mergeCell ref="D63:E63"/>
    <mergeCell ref="G63:G64"/>
    <mergeCell ref="F63:F64"/>
    <mergeCell ref="C62:F62"/>
    <mergeCell ref="J63:J64"/>
    <mergeCell ref="N63:N64"/>
    <mergeCell ref="K62:N62"/>
    <mergeCell ref="L63:M63"/>
    <mergeCell ref="H63:I63"/>
    <mergeCell ref="L87:N87"/>
    <mergeCell ref="O87:Q87"/>
    <mergeCell ref="B87:B88"/>
    <mergeCell ref="F113:G113"/>
    <mergeCell ref="I87:K87"/>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C14:J14"/>
    <mergeCell ref="B4:C4"/>
    <mergeCell ref="B5:C5"/>
    <mergeCell ref="B3:C3"/>
    <mergeCell ref="B2:C2"/>
    <mergeCell ref="B7:C7"/>
    <mergeCell ref="B6:C6"/>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5" t="s">
        <v>202</v>
      </c>
      <c r="B1" s="575"/>
      <c r="C1" s="575"/>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60" t="s">
        <v>196</v>
      </c>
      <c r="E17" s="560"/>
      <c r="F17" s="560"/>
      <c r="G17" s="560"/>
      <c r="H17" s="560"/>
      <c r="I17" s="560"/>
      <c r="J17" s="560"/>
      <c r="K17" s="560"/>
      <c r="L17" s="560" t="s">
        <v>197</v>
      </c>
      <c r="M17" s="560"/>
      <c r="N17" s="560"/>
      <c r="O17" s="560"/>
      <c r="P17" s="560"/>
      <c r="Q17" s="560"/>
      <c r="R17" s="560"/>
      <c r="S17" s="560"/>
      <c r="T17" s="560" t="s">
        <v>236</v>
      </c>
      <c r="U17" s="560"/>
      <c r="V17" s="560"/>
      <c r="W17" s="560"/>
      <c r="X17" s="560"/>
      <c r="Y17" s="560"/>
      <c r="Z17" s="560"/>
      <c r="AA17" s="560"/>
      <c r="AB17" s="560" t="s">
        <v>454</v>
      </c>
      <c r="AC17" s="560"/>
      <c r="AD17" s="560"/>
      <c r="AE17" s="560"/>
      <c r="AF17" s="560"/>
      <c r="AG17" s="560"/>
      <c r="AH17" s="560"/>
      <c r="AI17" s="560"/>
      <c r="AJ17" s="560" t="s">
        <v>455</v>
      </c>
      <c r="AK17" s="560"/>
      <c r="AL17" s="560"/>
      <c r="AM17" s="560"/>
      <c r="AN17" s="560"/>
      <c r="AO17" s="560"/>
      <c r="AP17" s="560"/>
      <c r="AQ17" s="560"/>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v>
      </c>
      <c r="C19" s="281">
        <f>IF(Exploitation!C16="","",Exploitation!C16)</f>
        <v>1320</v>
      </c>
      <c r="D19" s="281" t="str">
        <f>IF(Exploitation!C40="","",Exploitation!C40)</f>
        <v>Poulets_de_chair</v>
      </c>
      <c r="E19" s="282" t="str">
        <f>IF(ISERROR(VLOOKUP(F19,corres_FE,2,FALSE)),"",VLOOKUP(F19,corres_FE,2,FALSE))</f>
        <v>Poulets_de_chair</v>
      </c>
      <c r="F19" s="283" t="str">
        <f>IF(Exploitation!D40="","",Exploitation!D40)</f>
        <v>Poulet standard - Standard</v>
      </c>
      <c r="G19" s="281">
        <f>IF(Exploitation!$C40="","",Exploitation!E40)</f>
        <v>22.22</v>
      </c>
      <c r="H19" s="281">
        <f>IF(Exploitation!$C40="","",Exploitation!F40)</f>
        <v>7.5</v>
      </c>
      <c r="I19" s="284">
        <f>IF(ISERROR(VLOOKUP(F19,ITAVI_2013_volailles!$C$2:$J$79,8,FALSE)),"",VLOOKUP(F19,ITAVI_2013_volailles!$C$2:$J$79,8,FALSE))</f>
        <v>6.35</v>
      </c>
      <c r="J19" s="285">
        <f>IF(ISERROR(IF(E19="Poules_pondeuses",G19*H19/100,$C19*G19*H19))*(1-VLOOKUP(F19,ITAVI_2013_volailles!$C$2:$N$79,12,FALSE)),"",IF(E19="Poules_pondeuses",G19*H19/100,$C19*G19*H19)*(1-VLOOKUP(F19,ITAVI_2013_volailles!$C$2:$N$79,12,FALSE)))</f>
        <v>210342.96359999999</v>
      </c>
      <c r="K19" s="285">
        <f>IF(ISERROR(IF(E19="Poules_pondeuses",G19*H19/100,$C19*G19*H19/I19))*(1-VLOOKUP(F19,ITAVI_2013_volailles!$C$2:$N$79,12,FALSE)/2),"",IF(E19="Poules_pondeuses",G19*H19/100,$C19*G19*H19/I19)*(1-VLOOKUP(F19,ITAVI_2013_volailles!$C$2:$N$79,12,FALSE)/2))</f>
        <v>33883.540440944875</v>
      </c>
      <c r="L19" s="283" t="str">
        <f>IF(Exploitation!G40="","",Exploitation!G40)</f>
        <v/>
      </c>
      <c r="M19" s="282" t="str">
        <f t="shared" ref="M19:M33" si="0">IF(ISERROR(VLOOKUP(N19,corres_FE,2,FALSE)),"",VLOOKUP(N19,corres_FE,2,FALSE))</f>
        <v/>
      </c>
      <c r="N19" s="283" t="str">
        <f>IF(Exploitation!H40="","",Exploitation!H40)</f>
        <v/>
      </c>
      <c r="O19" s="281" t="str">
        <f>IF(Exploitation!$G40="","",Exploitation!I40)</f>
        <v/>
      </c>
      <c r="P19" s="281" t="str">
        <f>IF(Exploitation!$G40="","",Exploitation!J40)</f>
        <v/>
      </c>
      <c r="Q19" s="284" t="str">
        <f>IF(ISERROR(VLOOKUP(N19,ITAVI_2013_volailles!$C$2:$J$79,8,FALSE)),"",VLOOKUP(N19,ITAVI_2013_volailles!$C$2:$J$79,8,FALSE))</f>
        <v/>
      </c>
      <c r="R19" s="285" t="e">
        <f>IF(ISERROR(IF(M19="Poules_pondeuses",O19*P19/100,$C19*O19*P19))*(1-VLOOKUP(N19,ITAVI_2013_volailles!$C$2:$N$79,12,FALSE)),"",IF(M19="Poules_pondeuses",O19*P19/100,$C19*O19*P19)*(1-VLOOKUP(N19,ITAVI_2013_volailles!$C$2:$N$79,12,FALSE)))</f>
        <v>#N/A</v>
      </c>
      <c r="S19" s="285" t="e">
        <f>IF(ISERROR(IF(M19="Poules_pondeuses",O19*P19/100,$C19*O19*P19/Q19))*(1-VLOOKUP(N19,ITAVI_2013_volailles!$C$2:$N$79,12,FALSE)/2),"",IF(M19="Poules_pondeuses",O19*P19/100,$C19*O19*P19/Q19)*(1-VLOOKUP(N19,ITAVI_2013_volailles!$C$2:$N$79,12,FALSE)/2))</f>
        <v>#N/A</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
      </c>
      <c r="C20" s="281" t="str">
        <f>IF(Exploitation!C17="","",Exploitation!C17)</f>
        <v/>
      </c>
      <c r="D20" s="281" t="str">
        <f>IF(Exploitation!C41="","",Exploitation!C41)</f>
        <v/>
      </c>
      <c r="E20" s="282" t="str">
        <f t="shared" ref="E20:E33" si="4">IF(ISERROR(VLOOKUP(F20,corres_FE,2,FALSE)),"",VLOOKUP(F20,corres_FE,2,FALSE))</f>
        <v/>
      </c>
      <c r="F20" s="283" t="str">
        <f>IF(Exploitation!D41="","",Exploitation!D41)</f>
        <v/>
      </c>
      <c r="G20" s="281" t="str">
        <f>IF(Exploitation!$C41="","",Exploitation!E41)</f>
        <v/>
      </c>
      <c r="H20" s="281" t="str">
        <f>IF(Exploitation!$C41="","",Exploitation!F41)</f>
        <v/>
      </c>
      <c r="I20" s="284" t="str">
        <f>IF(ISERROR(VLOOKUP(F20,ITAVI_2013_volailles!$C$2:$J$79,8,FALSE)),"",VLOOKUP(F20,ITAVI_2013_volailles!$C$2:$J$79,8,FALSE))</f>
        <v/>
      </c>
      <c r="J20" s="285" t="e">
        <f>IF(ISERROR(IF(E20="Poules_pondeuses",G20*H20/100,$C20*G20*H20))*(1-VLOOKUP(F20,ITAVI_2013_volailles!$C$2:$N$79,12,FALSE)),"",IF(E20="Poules_pondeuses",G20*H20/100,$C20*G20*H20)*(1-VLOOKUP(F20,ITAVI_2013_volailles!$C$2:$N$79,12,FALSE)))</f>
        <v>#N/A</v>
      </c>
      <c r="K20" s="285" t="e">
        <f>IF(ISERROR(IF(E20="Poules_pondeuses",G20*H20/100,$C20*G20*H20/I20))*(1-VLOOKUP(F20,ITAVI_2013_volailles!$C$2:$N$79,12,FALSE)/2),"",IF(E20="Poules_pondeuses",G20*H20/100,$C20*G20*H20/I20)*(1-VLOOKUP(F20,ITAVI_2013_volailles!$C$2:$N$79,12,FALSE)/2))</f>
        <v>#N/A</v>
      </c>
      <c r="L20" s="283" t="str">
        <f>IF(Exploitation!G41="","",Exploitation!G41)</f>
        <v/>
      </c>
      <c r="M20" s="282" t="str">
        <f t="shared" si="0"/>
        <v/>
      </c>
      <c r="N20" s="283" t="str">
        <f>IF(Exploitation!H41="","",Exploitation!H41)</f>
        <v/>
      </c>
      <c r="O20" s="281" t="str">
        <f>IF(Exploitation!$G41="","",Exploitation!I41)</f>
        <v/>
      </c>
      <c r="P20" s="281" t="str">
        <f>IF(Exploitation!$G41="","",Exploitation!J41)</f>
        <v/>
      </c>
      <c r="Q20" s="284" t="str">
        <f>IF(ISERROR(VLOOKUP(N20,ITAVI_2013_volailles!$C$2:$J$79,8,FALSE)),"",VLOOKUP(N20,ITAVI_2013_volailles!$C$2:$J$79,8,FALSE))</f>
        <v/>
      </c>
      <c r="R20" s="285" t="e">
        <f>IF(ISERROR(IF(M20="Poules_pondeuses",O20*P20/100,$C20*O20*P20))*(1-VLOOKUP(N20,ITAVI_2013_volailles!$C$2:$N$79,12,FALSE)),"",IF(M20="Poules_pondeuses",O20*P20/100,$C20*O20*P20)*(1-VLOOKUP(N20,ITAVI_2013_volailles!$C$2:$N$79,12,FALSE)))</f>
        <v>#N/A</v>
      </c>
      <c r="S20" s="285" t="e">
        <f>IF(ISERROR(IF(M20="Poules_pondeuses",O20*P20/100,$C20*O20*P20/Q20))*(1-VLOOKUP(N20,ITAVI_2013_volailles!$C$2:$N$79,12,FALSE)/2),"",IF(M20="Poules_pondeuses",O20*P20/100,$C20*O20*P20/Q20)*(1-VLOOKUP(N20,ITAVI_2013_volailles!$C$2:$N$79,12,FALSE)/2))</f>
        <v>#N/A</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
      </c>
      <c r="C21" s="281" t="str">
        <f>IF(Exploitation!C18="","",Exploitation!C18)</f>
        <v/>
      </c>
      <c r="D21" s="281" t="str">
        <f>IF(Exploitation!C42="","",Exploitation!C42)</f>
        <v/>
      </c>
      <c r="E21" s="282" t="str">
        <f t="shared" si="4"/>
        <v/>
      </c>
      <c r="F21" s="283" t="str">
        <f>IF(Exploitation!D42="","",Exploitation!D42)</f>
        <v/>
      </c>
      <c r="G21" s="281" t="str">
        <f>IF(Exploitation!$C42="","",Exploitation!E42)</f>
        <v/>
      </c>
      <c r="H21" s="281" t="str">
        <f>IF(Exploitation!$C42="","",Exploitation!F42)</f>
        <v/>
      </c>
      <c r="I21" s="284" t="str">
        <f>IF(ISERROR(VLOOKUP(F21,ITAVI_2013_volailles!$C$2:$J$79,8,FALSE)),"",VLOOKUP(F21,ITAVI_2013_volailles!$C$2:$J$79,8,FALSE))</f>
        <v/>
      </c>
      <c r="J21" s="285" t="e">
        <f>IF(ISERROR(IF(E21="Poules_pondeuses",G21*H21/100,$C21*G21*H21))*(1-VLOOKUP(F21,ITAVI_2013_volailles!$C$2:$N$79,12,FALSE)),"",IF(E21="Poules_pondeuses",G21*H21/100,$C21*G21*H21)*(1-VLOOKUP(F21,ITAVI_2013_volailles!$C$2:$N$79,12,FALSE)))</f>
        <v>#N/A</v>
      </c>
      <c r="K21" s="285" t="e">
        <f>IF(ISERROR(IF(E21="Poules_pondeuses",G21*H21/100,$C21*G21*H21/I21))*(1-VLOOKUP(F21,ITAVI_2013_volailles!$C$2:$N$79,12,FALSE)/2),"",IF(E21="Poules_pondeuses",G21*H21/100,$C21*G21*H21/I21)*(1-VLOOKUP(F21,ITAVI_2013_volailles!$C$2:$N$79,12,FALSE)/2))</f>
        <v>#N/A</v>
      </c>
      <c r="L21" s="283" t="str">
        <f>IF(Exploitation!G42="","",Exploitation!G42)</f>
        <v/>
      </c>
      <c r="M21" s="282" t="str">
        <f t="shared" si="0"/>
        <v/>
      </c>
      <c r="N21" s="283" t="str">
        <f>IF(Exploitation!H42="","",Exploitation!H42)</f>
        <v/>
      </c>
      <c r="O21" s="281" t="str">
        <f>IF(Exploitation!$G42="","",Exploitation!I42)</f>
        <v/>
      </c>
      <c r="P21" s="281" t="str">
        <f>IF(Exploitation!$G42="","",Exploitation!J42)</f>
        <v/>
      </c>
      <c r="Q21" s="284" t="str">
        <f>IF(ISERROR(VLOOKUP(N21,ITAVI_2013_volailles!$C$2:$J$79,8,FALSE)),"",VLOOKUP(N21,ITAVI_2013_volailles!$C$2:$J$79,8,FALSE))</f>
        <v/>
      </c>
      <c r="R21" s="285" t="e">
        <f>IF(ISERROR(IF(M21="Poules_pondeuses",O21*P21/100,$C21*O21*P21))*(1-VLOOKUP(N21,ITAVI_2013_volailles!$C$2:$N$79,12,FALSE)),"",IF(M21="Poules_pondeuses",O21*P21/100,$C21*O21*P21)*(1-VLOOKUP(N21,ITAVI_2013_volailles!$C$2:$N$79,12,FALSE)))</f>
        <v>#N/A</v>
      </c>
      <c r="S21" s="285" t="e">
        <f>IF(ISERROR(IF(M21="Poules_pondeuses",O21*P21/100,$C21*O21*P21/Q21))*(1-VLOOKUP(N21,ITAVI_2013_volailles!$C$2:$N$79,12,FALSE)/2),"",IF(M21="Poules_pondeuses",O21*P21/100,$C21*O21*P21/Q21)*(1-VLOOKUP(N21,ITAVI_2013_volailles!$C$2:$N$79,12,FALSE)/2))</f>
        <v>#N/A</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60" t="s">
        <v>196</v>
      </c>
      <c r="E44" s="560"/>
      <c r="F44" s="560"/>
      <c r="G44" s="560"/>
      <c r="H44" s="560"/>
      <c r="I44" s="560"/>
      <c r="J44" s="560"/>
      <c r="K44" s="560"/>
      <c r="L44" s="560"/>
      <c r="M44" s="560"/>
      <c r="N44" s="560"/>
      <c r="O44" s="560"/>
      <c r="P44" s="560" t="s">
        <v>197</v>
      </c>
      <c r="Q44" s="560"/>
      <c r="R44" s="560"/>
      <c r="S44" s="560"/>
      <c r="T44" s="560"/>
      <c r="U44" s="560"/>
      <c r="V44" s="560"/>
      <c r="W44" s="560"/>
      <c r="X44" s="560"/>
      <c r="Y44" s="560"/>
      <c r="Z44" s="560"/>
      <c r="AA44" s="560"/>
      <c r="AB44" s="560" t="s">
        <v>236</v>
      </c>
      <c r="AC44" s="560"/>
      <c r="AD44" s="560"/>
      <c r="AE44" s="560"/>
      <c r="AF44" s="560"/>
      <c r="AG44" s="560"/>
      <c r="AH44" s="560"/>
      <c r="AI44" s="560"/>
      <c r="AJ44" s="560"/>
      <c r="AK44" s="560"/>
      <c r="AL44" s="560"/>
      <c r="AM44" s="560"/>
      <c r="AN44" s="560" t="s">
        <v>454</v>
      </c>
      <c r="AO44" s="560"/>
      <c r="AP44" s="560"/>
      <c r="AQ44" s="560"/>
      <c r="AR44" s="560"/>
      <c r="AS44" s="560"/>
      <c r="AT44" s="560"/>
      <c r="AU44" s="560"/>
      <c r="AV44" s="560"/>
      <c r="AW44" s="560"/>
      <c r="AX44" s="560"/>
      <c r="AY44" s="560"/>
      <c r="AZ44" s="560" t="s">
        <v>455</v>
      </c>
      <c r="BA44" s="560"/>
      <c r="BB44" s="560"/>
      <c r="BC44" s="560"/>
      <c r="BD44" s="560"/>
      <c r="BE44" s="560"/>
      <c r="BF44" s="560"/>
      <c r="BG44" s="560"/>
      <c r="BH44" s="560"/>
      <c r="BI44" s="560"/>
      <c r="BJ44" s="560"/>
      <c r="BK44" s="560"/>
      <c r="BL44" s="561" t="s">
        <v>107</v>
      </c>
      <c r="BM44" s="562"/>
      <c r="BN44" s="562"/>
      <c r="BO44" s="563"/>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v>
      </c>
      <c r="C46" s="281" t="str">
        <f>IF(Exploitation!D16="","",Exploitation!D16)</f>
        <v>Terre battue + litière</v>
      </c>
      <c r="D46" s="281" t="str">
        <f>D19</f>
        <v>Poulets_de_chair</v>
      </c>
      <c r="E46" s="282" t="str">
        <f>IF(ISERROR(VLOOKUP(F46,corres_FE,2,FALSE)),"",VLOOKUP(F46,corres_FE,2,FALSE))</f>
        <v>Poulets_de_chair</v>
      </c>
      <c r="F46" s="283" t="str">
        <f t="shared" ref="F46:F65" si="9">F19</f>
        <v>Poulet standard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f>IF(Exploitation!E65="","",Exploitation!E65)</f>
        <v>3.3000000000000002E-2</v>
      </c>
      <c r="J46" s="293">
        <f>IF(ISERROR(H46/100*L46),"",H46/100*L46)</f>
        <v>6941.3177987999998</v>
      </c>
      <c r="K46" s="293">
        <f>IF(ISERROR((100-H46)/100*L46),"",(100-H46)/100*L46)</f>
        <v>0</v>
      </c>
      <c r="L46" s="293">
        <f>IF(I46="",IF(ISERROR(VLOOKUP($F46,ITAVI_2013_volailles!$C:$J,7,FALSE)*J19/1000),"",VLOOKUP($F46,ITAVI_2013_volailles!$C:$J,7,FALSE)*J19/1000),I46*J19)</f>
        <v>6941.3177987999998</v>
      </c>
      <c r="M46" s="294">
        <f>IF(ISERROR(VLOOKUP($E46,'Donnees d''entrée'!$B$403:$D$410,2,FALSE)),"",VLOOKUP($E46,'Donnees d''entrée'!$B$403:$D$410,2,FALSE))</f>
        <v>0.7</v>
      </c>
      <c r="N46" s="294">
        <f>IF(ISERROR(IF(E46="Poulets_de_chair",VLOOKUP(F46,FE_poulet,2,FALSE),VLOOKUP(E46,FE_NH3,2,FALSE))),"",IF(E46="Poulets_de_chair",VLOOKUP(F46,FE_poulet,2,FALSE),VLOOKUP(E46,FE_NH3,2,FALSE)))</f>
        <v>0.15</v>
      </c>
      <c r="O46" s="295">
        <f>IF(ISERROR(J46*M46*N46),"",J46*M46*N46)</f>
        <v>728.83836887399991</v>
      </c>
      <c r="P46" s="281" t="str">
        <f t="shared" ref="P46:P60" si="10">L19</f>
        <v/>
      </c>
      <c r="Q46" s="282" t="str">
        <f>IF(ISERROR(VLOOKUP(R46,corres_FE,2,FALSE)),"",VLOOKUP(R46,corres_FE,2,FALSE))</f>
        <v/>
      </c>
      <c r="R46" s="283" t="str">
        <f t="shared" ref="R46:R60" si="11">N19</f>
        <v/>
      </c>
      <c r="S46" s="291" t="str">
        <f>IF(ISERROR(VLOOKUP(P46,'Donnees d''entrée'!$B$138:$D$146,3,FALSE)),"",VLOOKUP(P46,'Donnees d''entrée'!$B$138:$D$146,3,FALSE))</f>
        <v/>
      </c>
      <c r="T46" s="292" t="str">
        <f>IF(Emissions!$R46="","",IF(OR(Exploitation!$J65="",Exploitation!$J65="Pas d'information"),VLOOKUP($F46,ITAVI_2013_volailles!$C$3:$K$79,9,FALSE),Exploitation!$J65))</f>
        <v/>
      </c>
      <c r="U46" s="281" t="str">
        <f>IF(Exploitation!I65="","",Exploitation!I65)</f>
        <v/>
      </c>
      <c r="V46" s="296" t="str">
        <f>IF(ISERROR(T46/100*X46),"",T46/100*X46)</f>
        <v/>
      </c>
      <c r="W46" s="296" t="str">
        <f>IF(ISERROR((100-T46)/100*X46),"",(100-T46)/100*X46)</f>
        <v/>
      </c>
      <c r="X46" s="296" t="str">
        <f>IF(U46="",IF(ISERROR(VLOOKUP($R46,ITAVI_2013_volailles!$C:$J,7,FALSE)*R19/1000),"",VLOOKUP($R46,ITAVI_2013_volailles!$C:$J,7,FALSE)*R19/1000),U46*R19)</f>
        <v/>
      </c>
      <c r="Y46" s="294" t="str">
        <f>IF(ISERROR(VLOOKUP($Q46,'Donnees d''entrée'!$B$403:$D$410,2,FALSE)),"",VLOOKUP($Q46,'Donnees d''entrée'!$B$403:$D$410,2,FALSE))</f>
        <v/>
      </c>
      <c r="Z46" s="294" t="str">
        <f t="shared" ref="Z46:Z65" si="12">IF(ISERROR(IF(Q46="Poulets_de_chair",VLOOKUP(R46,FE_poulet,2,FALSE),VLOOKUP(Q46,FE_NH3,2,FALSE))),"",IF(Q46="Poulets_de_chair",VLOOKUP(R46,FE_poulet,2,FALSE),VLOOKUP(Q46,FE_NH3,2,FALSE)))</f>
        <v/>
      </c>
      <c r="AA46" s="296" t="str">
        <f>IF(ISERROR(V46*Y46*Z46),"",V46*Y46*Z46)</f>
        <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6941.3177987999998</v>
      </c>
      <c r="BM46" s="296">
        <f>SUM(K46,W46,AI46,AU46,BG46)</f>
        <v>0</v>
      </c>
      <c r="BN46" s="296">
        <f>SUM(L46,X46,AJ46,AV46,BH46)</f>
        <v>6941.3177987999998</v>
      </c>
      <c r="BO46" s="296">
        <f>SUM(O46,AA46,AM46,BK46)</f>
        <v>728.83836887399991</v>
      </c>
    </row>
    <row r="47" spans="1:67" ht="39.6" customHeight="1" x14ac:dyDescent="0.25">
      <c r="A47" s="279">
        <v>2</v>
      </c>
      <c r="B47" s="280" t="str">
        <f t="shared" ref="B47:B65" si="20">B20</f>
        <v/>
      </c>
      <c r="C47" s="281" t="str">
        <f>IF(Exploitation!D17="","",Exploitation!D17)</f>
        <v/>
      </c>
      <c r="D47" s="281" t="str">
        <f t="shared" ref="D47:D65" si="21">D20</f>
        <v/>
      </c>
      <c r="E47" s="282" t="str">
        <f t="shared" ref="E47:E60" si="22">IF(ISERROR(VLOOKUP(F47,corres_FE,2,FALSE)),"",VLOOKUP(F47,corres_FE,2,FALSE))</f>
        <v/>
      </c>
      <c r="F47" s="283" t="str">
        <f t="shared" si="9"/>
        <v/>
      </c>
      <c r="G47" s="291" t="str">
        <f>IF(ISERROR(VLOOKUP(D47,'Donnees d''entrée'!$B$138:$D$146,3,FALSE)),"",VLOOKUP(D47,'Donnees d''entrée'!$B$138:$D$146,3,FALSE))</f>
        <v/>
      </c>
      <c r="H47" s="292" t="str">
        <f>IF(Emissions!$F47="","",IF(OR(Exploitation!$F66="",Exploitation!$F66="Pas d'information"),VLOOKUP($F47,ITAVI_2013_volailles!$C$2:$K$79,9,FALSE),Exploitation!$F66))</f>
        <v/>
      </c>
      <c r="I47" s="281" t="str">
        <f>IF(Exploitation!E66="","",Exploitation!E66)</f>
        <v/>
      </c>
      <c r="J47" s="293" t="str">
        <f t="shared" ref="J47:J60" si="23">IF(ISERROR(H47/100*L47),"",H47/100*L47)</f>
        <v/>
      </c>
      <c r="K47" s="293" t="str">
        <f t="shared" ref="K47:K60" si="24">IF(ISERROR((100-H47)/100*L47),"",(100-H47)/100*L47)</f>
        <v/>
      </c>
      <c r="L47" s="313" t="str">
        <f>IF(I47="",IF(ISERROR(VLOOKUP($F47,ITAVI_2013_volailles!$C:$J,7,FALSE)*J20/1000),"",VLOOKUP($F47,ITAVI_2013_volailles!$C:$J,7,FALSE)*J20/1000),I47*J20)</f>
        <v/>
      </c>
      <c r="M47" s="294" t="str">
        <f>IF(ISERROR(VLOOKUP($E47,'Donnees d''entrée'!$B$403:$D$410,2,FALSE)),"",VLOOKUP($E47,'Donnees d''entrée'!$B$403:$D$410,2,FALSE))</f>
        <v/>
      </c>
      <c r="N47" s="294" t="str">
        <f t="shared" ref="N47:N65" si="25">IF(ISERROR(IF(E47="Poulets_de_chair",VLOOKUP(F47,FE_poulet,2,FALSE),VLOOKUP(E47,FE_NH3,2,FALSE))),"",IF(E47="Poulets_de_chair",VLOOKUP(F47,FE_poulet,2,FALSE),VLOOKUP(E47,FE_NH3,2,FALSE)))</f>
        <v/>
      </c>
      <c r="O47" s="295" t="str">
        <f t="shared" ref="O47:O60" si="26">IF(ISERROR(J47*M47*N47),"",J47*M47*N47)</f>
        <v/>
      </c>
      <c r="P47" s="281" t="str">
        <f t="shared" si="10"/>
        <v/>
      </c>
      <c r="Q47" s="282" t="str">
        <f t="shared" ref="Q47:Q60" si="27">IF(ISERROR(VLOOKUP(R47,corres_FE,2,FALSE)),"",VLOOKUP(R47,corres_FE,2,FALSE))</f>
        <v/>
      </c>
      <c r="R47" s="283" t="str">
        <f t="shared" si="11"/>
        <v/>
      </c>
      <c r="S47" s="291" t="str">
        <f>IF(ISERROR(VLOOKUP(P47,'Donnees d''entrée'!$B$138:$D$146,3,FALSE)),"",VLOOKUP(P47,'Donnees d''entrée'!$B$138:$D$146,3,FALSE))</f>
        <v/>
      </c>
      <c r="T47" s="292" t="str">
        <f>IF(Emissions!$R47="","",IF(OR(Exploitation!$J66="",Exploitation!$J66="Pas d'information"),VLOOKUP($F47,ITAVI_2013_volailles!$C$3:$K$79,9,FALSE),Exploitation!$J66))</f>
        <v/>
      </c>
      <c r="U47" s="281" t="str">
        <f>IF(Exploitation!I66="","",Exploitation!I66)</f>
        <v/>
      </c>
      <c r="V47" s="296" t="str">
        <f t="shared" ref="V47:V60" si="28">IF(ISERROR(T47/100*X47),"",T47/100*X47)</f>
        <v/>
      </c>
      <c r="W47" s="296" t="str">
        <f t="shared" ref="W47:W60" si="29">IF(ISERROR((100-T47)/100*X47),"",(100-T47)/100*X47)</f>
        <v/>
      </c>
      <c r="X47" s="296" t="str">
        <f>IF(U47="",IF(ISERROR(VLOOKUP($R47,ITAVI_2013_volailles!$C:$J,7,FALSE)*R20/1000),"",VLOOKUP($R47,ITAVI_2013_volailles!$C:$J,7,FALSE)*R20/1000),U47*R20)</f>
        <v/>
      </c>
      <c r="Y47" s="294" t="str">
        <f>IF(ISERROR(VLOOKUP($Q47,'Donnees d''entrée'!$B$403:$D$410,2,FALSE)),"",VLOOKUP($Q47,'Donnees d''entrée'!$B$403:$D$410,2,FALSE))</f>
        <v/>
      </c>
      <c r="Z47" s="294" t="str">
        <f t="shared" si="12"/>
        <v/>
      </c>
      <c r="AA47" s="296" t="str">
        <f t="shared" ref="AA47:AA60" si="30">IF(ISERROR(V47*Y47*Z47),"",V47*Y47*Z47)</f>
        <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0</v>
      </c>
      <c r="BM47" s="296">
        <f t="shared" ref="BM47:BM65" si="46">SUM(K47,W47,AI47,AU47,BG47)</f>
        <v>0</v>
      </c>
      <c r="BN47" s="296">
        <f t="shared" ref="BN47:BN65" si="47">SUM(L47,X47,AJ47,AV47,BH47)</f>
        <v>0</v>
      </c>
      <c r="BO47" s="296">
        <f t="shared" ref="BO47:BO65" si="48">SUM(O47,AA47,AM47,BK47)</f>
        <v>0</v>
      </c>
    </row>
    <row r="48" spans="1:67" x14ac:dyDescent="0.25">
      <c r="A48" s="279">
        <v>3</v>
      </c>
      <c r="B48" s="280" t="str">
        <f t="shared" si="20"/>
        <v/>
      </c>
      <c r="C48" s="281" t="str">
        <f>IF(Exploitation!D18="","",Exploitation!D18)</f>
        <v/>
      </c>
      <c r="D48" s="281" t="str">
        <f t="shared" si="21"/>
        <v/>
      </c>
      <c r="E48" s="282" t="str">
        <f t="shared" si="22"/>
        <v/>
      </c>
      <c r="F48" s="283" t="str">
        <f t="shared" si="9"/>
        <v/>
      </c>
      <c r="G48" s="291" t="str">
        <f>IF(ISERROR(VLOOKUP(D48,'Donnees d''entrée'!$B$138:$D$146,3,FALSE)),"",VLOOKUP(D48,'Donnees d''entrée'!$B$138:$D$146,3,FALSE))</f>
        <v/>
      </c>
      <c r="H48" s="292" t="str">
        <f>IF(Emissions!$F48="","",IF(OR(Exploitation!$F67="",Exploitation!$F67="Pas d'information"),VLOOKUP($F48,ITAVI_2013_volailles!$C$2:$K$79,9,FALSE),Exploitation!$F67))</f>
        <v/>
      </c>
      <c r="I48" s="281" t="str">
        <f>IF(Exploitation!E67="","",Exploitation!E67)</f>
        <v/>
      </c>
      <c r="J48" s="293" t="str">
        <f t="shared" si="23"/>
        <v/>
      </c>
      <c r="K48" s="293" t="str">
        <f t="shared" si="24"/>
        <v/>
      </c>
      <c r="L48" s="293" t="str">
        <f>IF(I48="",IF(ISERROR(VLOOKUP($F48,ITAVI_2013_volailles!$C:$J,7,FALSE)*J21/1000),"",VLOOKUP($F48,ITAVI_2013_volailles!$C:$J,7,FALSE)*J21/1000),I48*J21)</f>
        <v/>
      </c>
      <c r="M48" s="294" t="str">
        <f>IF(ISERROR(VLOOKUP($E48,'Donnees d''entrée'!$B$403:$D$410,2,FALSE)),"",VLOOKUP($E48,'Donnees d''entrée'!$B$403:$D$410,2,FALSE))</f>
        <v/>
      </c>
      <c r="N48" s="294" t="str">
        <f t="shared" si="25"/>
        <v/>
      </c>
      <c r="O48" s="295" t="str">
        <f t="shared" si="26"/>
        <v/>
      </c>
      <c r="P48" s="281" t="str">
        <f t="shared" si="10"/>
        <v/>
      </c>
      <c r="Q48" s="282" t="str">
        <f t="shared" si="27"/>
        <v/>
      </c>
      <c r="R48" s="283" t="str">
        <f t="shared" si="11"/>
        <v/>
      </c>
      <c r="S48" s="291" t="str">
        <f>IF(ISERROR(VLOOKUP(P48,'Donnees d''entrée'!$B$138:$D$146,3,FALSE)),"",VLOOKUP(P48,'Donnees d''entrée'!$B$138:$D$146,3,FALSE))</f>
        <v/>
      </c>
      <c r="T48" s="292" t="str">
        <f>IF(Emissions!$R48="","",IF(OR(Exploitation!$J67="",Exploitation!$J67="Pas d'information"),VLOOKUP($F48,ITAVI_2013_volailles!$C$3:$K$79,9,FALSE),Exploitation!$J67))</f>
        <v/>
      </c>
      <c r="U48" s="281" t="str">
        <f>IF(Exploitation!I67="","",Exploitation!I67)</f>
        <v/>
      </c>
      <c r="V48" s="296" t="str">
        <f t="shared" si="28"/>
        <v/>
      </c>
      <c r="W48" s="296" t="str">
        <f t="shared" si="29"/>
        <v/>
      </c>
      <c r="X48" s="296" t="str">
        <f>IF(U48="",IF(ISERROR(VLOOKUP($R48,ITAVI_2013_volailles!$C:$J,7,FALSE)*R21/1000),"",VLOOKUP($R48,ITAVI_2013_volailles!$C:$J,7,FALSE)*R21/1000),U48*R21)</f>
        <v/>
      </c>
      <c r="Y48" s="294" t="str">
        <f>IF(ISERROR(VLOOKUP($Q48,'Donnees d''entrée'!$B$403:$D$410,2,FALSE)),"",VLOOKUP($Q48,'Donnees d''entrée'!$B$403:$D$410,2,FALSE))</f>
        <v/>
      </c>
      <c r="Z48" s="294" t="str">
        <f t="shared" si="12"/>
        <v/>
      </c>
      <c r="AA48" s="296" t="str">
        <f t="shared" si="30"/>
        <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0</v>
      </c>
      <c r="BM48" s="296">
        <f t="shared" si="46"/>
        <v>0</v>
      </c>
      <c r="BN48" s="296">
        <f t="shared" si="47"/>
        <v>0</v>
      </c>
      <c r="BO48" s="296">
        <f t="shared" si="48"/>
        <v>0</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81" t="s">
        <v>196</v>
      </c>
      <c r="O70" s="582"/>
      <c r="P70" s="582"/>
      <c r="Q70" s="582"/>
      <c r="R70" s="582"/>
      <c r="S70" s="582"/>
      <c r="T70" s="583"/>
      <c r="U70" s="581" t="s">
        <v>197</v>
      </c>
      <c r="V70" s="582"/>
      <c r="W70" s="582"/>
      <c r="X70" s="582"/>
      <c r="Y70" s="582"/>
      <c r="Z70" s="582"/>
      <c r="AA70" s="583"/>
      <c r="AB70" s="581" t="s">
        <v>236</v>
      </c>
      <c r="AC70" s="582"/>
      <c r="AD70" s="582"/>
      <c r="AE70" s="582"/>
      <c r="AF70" s="582"/>
      <c r="AG70" s="582"/>
      <c r="AH70" s="583"/>
      <c r="AI70" s="581" t="s">
        <v>454</v>
      </c>
      <c r="AJ70" s="582"/>
      <c r="AK70" s="582"/>
      <c r="AL70" s="582"/>
      <c r="AM70" s="582"/>
      <c r="AN70" s="582"/>
      <c r="AO70" s="583"/>
      <c r="AP70" s="581" t="s">
        <v>455</v>
      </c>
      <c r="AQ70" s="582"/>
      <c r="AR70" s="582"/>
      <c r="AS70" s="582"/>
      <c r="AT70" s="582"/>
      <c r="AU70" s="582"/>
      <c r="AV70" s="583"/>
      <c r="AW70" s="560" t="s">
        <v>365</v>
      </c>
      <c r="AX70" s="560"/>
      <c r="AY70" s="560"/>
      <c r="AZ70" s="560"/>
      <c r="BA70" s="560"/>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Non</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1.3333333333333333</v>
      </c>
      <c r="K72" s="301">
        <f>IF(ISERROR(VLOOKUP(C72,'Donnees d''entrée'!$B$417:$N$440,H72,FALSE)),"",VLOOKUP(C72,'Donnees d''entrée'!$B$417:$N$440,H72,FALSE))</f>
        <v>1</v>
      </c>
      <c r="L72" s="301">
        <f>I72</f>
        <v>1</v>
      </c>
      <c r="M72" s="302">
        <f>IF(ISERROR(J72*K72*L72),"",J72*K72*L72)</f>
        <v>1.3333333333333333</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971.78449183199984</v>
      </c>
      <c r="S72" s="304">
        <f t="shared" ref="S72:S91" ca="1" si="70">IF(ISERROR(P72*$T72),"",P72*$T72)</f>
        <v>0</v>
      </c>
      <c r="T72" s="304">
        <f>IF(ISERROR(O46*$M72),"",O46*$M72)</f>
        <v>971.78449183199984</v>
      </c>
      <c r="U72" s="303" t="str">
        <f t="shared" ref="U72:U91" ca="1" si="71">IF(ISERROR(VLOOKUP($C46,INDIRECT($S46),2,FALSE)),"",VLOOKUP($C46,INDIRECT($S46),2,FALSE))</f>
        <v/>
      </c>
      <c r="V72" s="303" t="str">
        <f t="shared" ref="V72:V91" ca="1" si="72">IF(ISERROR(VLOOKUP($C46,INDIRECT($S46),3,FALSE)),"",VLOOKUP($C46,INDIRECT($S46),3,FALSE))</f>
        <v/>
      </c>
      <c r="W72" s="303" t="str">
        <f t="shared" ref="W72:W91" ca="1" si="73">IF(ISERROR(VLOOKUP($C46,INDIRECT($S46),5,FALSE)),"",VLOOKUP($C46,INDIRECT($S46),5,FALSE))</f>
        <v/>
      </c>
      <c r="X72" s="305" t="str">
        <f t="shared" ref="X72:X91" ca="1" si="74">IF(ISERROR(U72*$AA72),"",U72*$AA72)</f>
        <v/>
      </c>
      <c r="Y72" s="305" t="str">
        <f t="shared" ref="Y72:Y91" ca="1" si="75">IF(ISERROR(V72*$AA72),"",V72*$AA72)</f>
        <v/>
      </c>
      <c r="Z72" s="305" t="str">
        <f t="shared" ref="Z72:Z91" ca="1" si="76">IF(ISERROR(W72*$AA72),"",W72*$AA72)</f>
        <v/>
      </c>
      <c r="AA72" s="305" t="str">
        <f t="shared" ref="AA72:AA91" si="77">IF(ISERROR(AA46*$M72),"",AA46*$M72)</f>
        <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971.78449183199984</v>
      </c>
      <c r="AY72" s="306">
        <f t="shared" ca="1" si="93"/>
        <v>0</v>
      </c>
      <c r="AZ72" s="306">
        <f>SUM(T72,AA72,AH72,AO72,AV72)</f>
        <v>971.78449183199984</v>
      </c>
      <c r="BA72" s="306">
        <f ca="1">AW72+AX72+AY72-AZ72</f>
        <v>0</v>
      </c>
    </row>
    <row r="73" spans="1:67" ht="30" x14ac:dyDescent="0.25">
      <c r="A73" s="279">
        <v>2</v>
      </c>
      <c r="B73" s="280" t="str">
        <f t="shared" ref="B73:B91" si="94">B47</f>
        <v/>
      </c>
      <c r="C73" s="298" t="str">
        <f>IF(Exploitation!E17="","",Exploitation!E17)</f>
        <v/>
      </c>
      <c r="D73" s="298" t="str">
        <f>IF(Exploitation!F17="","",Exploitation!F17)</f>
        <v/>
      </c>
      <c r="E73" s="298" t="str">
        <f>IF(Exploitation!G17="","",Exploitation!G17)</f>
        <v/>
      </c>
      <c r="F73" s="298" t="str">
        <f>IF(Exploitation!H17="","",Exploitation!H17)</f>
        <v/>
      </c>
      <c r="G73" s="298" t="str">
        <f>IF(Exploitation!I17="","",Exploitation!I17)</f>
        <v/>
      </c>
      <c r="H73" s="299" t="str">
        <f t="shared" si="65"/>
        <v/>
      </c>
      <c r="I73" s="299" t="str">
        <f t="shared" si="66"/>
        <v/>
      </c>
      <c r="J73" s="299">
        <f>IF(OR(D47="Poulets_de_chair",P47="Poulets_de_chair",AB47="Poulets_de_chair",AN47="Poulets_de_chair",AZ47="Poulets_de_chair"),1*IF(G73="Oui",'Donnees d''entrée'!$C$95,'Donnees d''entrée'!$C$96),1)</f>
        <v>1</v>
      </c>
      <c r="K73" s="301" t="str">
        <f>IF(ISERROR(VLOOKUP(C73,'Donnees d''entrée'!$B$417:$N$440,H73,FALSE)),"",VLOOKUP(C73,'Donnees d''entrée'!$B$417:$N$440,H73,FALSE))</f>
        <v/>
      </c>
      <c r="L73" s="301" t="str">
        <f t="shared" ref="L73:L91" si="95">I73</f>
        <v/>
      </c>
      <c r="M73" s="302" t="str">
        <f t="shared" ref="M73:M91" si="96">IF(ISERROR(J73*K73*L73),"",J73*K73*L73)</f>
        <v/>
      </c>
      <c r="N73" s="303" t="str">
        <f ca="1">IF(ISERROR(VLOOKUP($C47,INDIRECT($G47),2,FALSE)),"",VLOOKUP($C47,INDIRECT($G47),2,FALSE))</f>
        <v/>
      </c>
      <c r="O73" s="303" t="str">
        <f t="shared" ca="1" si="68"/>
        <v/>
      </c>
      <c r="P73" s="303" t="str">
        <f t="shared" ref="P73:P91" ca="1" si="97">IF(ISERROR(VLOOKUP($C47,INDIRECT($G47),5,FALSE)),"",VLOOKUP($C47,INDIRECT($G47),5,FALSE))</f>
        <v/>
      </c>
      <c r="Q73" s="304" t="str">
        <f t="shared" ref="Q73:Q91" ca="1" si="98">IF(ISERROR(N73*$T73),"",N73*$T73)</f>
        <v/>
      </c>
      <c r="R73" s="304" t="str">
        <f t="shared" ca="1" si="69"/>
        <v/>
      </c>
      <c r="S73" s="304" t="str">
        <f t="shared" ca="1" si="70"/>
        <v/>
      </c>
      <c r="T73" s="304" t="str">
        <f t="shared" ref="T73:T91" si="99">IF(ISERROR(O47*$M73),"",O47*$M73)</f>
        <v/>
      </c>
      <c r="U73" s="303" t="str">
        <f t="shared" ca="1" si="71"/>
        <v/>
      </c>
      <c r="V73" s="303" t="str">
        <f t="shared" ca="1" si="72"/>
        <v/>
      </c>
      <c r="W73" s="303" t="str">
        <f t="shared" ca="1" si="73"/>
        <v/>
      </c>
      <c r="X73" s="305" t="str">
        <f t="shared" ca="1" si="74"/>
        <v/>
      </c>
      <c r="Y73" s="305" t="str">
        <f t="shared" ca="1" si="75"/>
        <v/>
      </c>
      <c r="Z73" s="305" t="str">
        <f t="shared" ca="1" si="76"/>
        <v/>
      </c>
      <c r="AA73" s="305" t="str">
        <f t="shared" si="77"/>
        <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0</v>
      </c>
      <c r="AY73" s="306">
        <f t="shared" ref="AY73:AY91" ca="1" si="108">SUM(S73,Z73,AG73,AN73,AU73)</f>
        <v>0</v>
      </c>
      <c r="AZ73" s="306">
        <f t="shared" ref="AZ73:AZ91" si="109">SUM(T73,AA73,AH73,AO73,AV73)</f>
        <v>0</v>
      </c>
      <c r="BA73" s="306">
        <f t="shared" ref="BA73:BA91" ca="1" si="110">AW73+AX73+AY73-AZ73</f>
        <v>0</v>
      </c>
    </row>
    <row r="74" spans="1:67" x14ac:dyDescent="0.25">
      <c r="A74" s="279">
        <v>3</v>
      </c>
      <c r="B74" s="280" t="str">
        <f t="shared" si="94"/>
        <v/>
      </c>
      <c r="C74" s="298" t="str">
        <f>IF(Exploitation!E18="","",Exploitation!E18)</f>
        <v/>
      </c>
      <c r="D74" s="298" t="str">
        <f>IF(Exploitation!F18="","",Exploitation!F18)</f>
        <v/>
      </c>
      <c r="E74" s="298" t="str">
        <f>IF(Exploitation!G18="","",Exploitation!G18)</f>
        <v/>
      </c>
      <c r="F74" s="298" t="str">
        <f>IF(Exploitation!H18="","",Exploitation!H18)</f>
        <v/>
      </c>
      <c r="G74" s="298" t="str">
        <f>IF(Exploitation!I18="","",Exploitation!I18)</f>
        <v/>
      </c>
      <c r="H74" s="299" t="str">
        <f t="shared" si="65"/>
        <v/>
      </c>
      <c r="I74" s="299" t="str">
        <f t="shared" si="66"/>
        <v/>
      </c>
      <c r="J74" s="299">
        <f>IF(OR(D48="Poulets_de_chair",P48="Poulets_de_chair",AB48="Poulets_de_chair",AN48="Poulets_de_chair",AZ48="Poulets_de_chair"),1*IF(G74="Oui",'Donnees d''entrée'!$C$95,'Donnees d''entrée'!$C$96),1)</f>
        <v>1</v>
      </c>
      <c r="K74" s="301" t="str">
        <f>IF(ISERROR(VLOOKUP(C74,'Donnees d''entrée'!$B$417:$N$440,H74,FALSE)),"",VLOOKUP(C74,'Donnees d''entrée'!$B$417:$N$440,H74,FALSE))</f>
        <v/>
      </c>
      <c r="L74" s="301" t="str">
        <f t="shared" si="95"/>
        <v/>
      </c>
      <c r="M74" s="302" t="str">
        <f t="shared" si="96"/>
        <v/>
      </c>
      <c r="N74" s="303" t="str">
        <f t="shared" ca="1" si="67"/>
        <v/>
      </c>
      <c r="O74" s="303" t="str">
        <f t="shared" ca="1" si="68"/>
        <v/>
      </c>
      <c r="P74" s="303" t="str">
        <f t="shared" ca="1" si="97"/>
        <v/>
      </c>
      <c r="Q74" s="304" t="str">
        <f t="shared" ca="1" si="98"/>
        <v/>
      </c>
      <c r="R74" s="304" t="str">
        <f t="shared" ca="1" si="69"/>
        <v/>
      </c>
      <c r="S74" s="304" t="str">
        <f t="shared" ca="1" si="70"/>
        <v/>
      </c>
      <c r="T74" s="304" t="str">
        <f t="shared" si="99"/>
        <v/>
      </c>
      <c r="U74" s="303" t="str">
        <f t="shared" ca="1" si="71"/>
        <v/>
      </c>
      <c r="V74" s="303" t="str">
        <f t="shared" ca="1" si="72"/>
        <v/>
      </c>
      <c r="W74" s="303" t="str">
        <f t="shared" ca="1" si="73"/>
        <v/>
      </c>
      <c r="X74" s="305" t="str">
        <f t="shared" ca="1" si="74"/>
        <v/>
      </c>
      <c r="Y74" s="305" t="str">
        <f t="shared" ca="1" si="75"/>
        <v/>
      </c>
      <c r="Z74" s="305" t="str">
        <f t="shared" ca="1" si="76"/>
        <v/>
      </c>
      <c r="AA74" s="305" t="str">
        <f t="shared" si="77"/>
        <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0</v>
      </c>
      <c r="AY74" s="306">
        <f t="shared" ca="1" si="108"/>
        <v>0</v>
      </c>
      <c r="AZ74" s="306">
        <f t="shared" si="109"/>
        <v>0</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971.78449183199984</v>
      </c>
      <c r="AV93" s="306">
        <f ca="1">SUM(AY72:AY91)</f>
        <v>0</v>
      </c>
      <c r="AW93" s="306">
        <f>SUM(AZ72:AZ91)</f>
        <v>971.78449183199984</v>
      </c>
      <c r="AX93" s="306">
        <f ca="1">SUM(BA72:BA91)</f>
        <v>0</v>
      </c>
    </row>
    <row r="94" spans="1:53" ht="26.25" x14ac:dyDescent="0.4">
      <c r="B94" s="576" t="s">
        <v>298</v>
      </c>
      <c r="C94" s="576"/>
      <c r="D94" s="576"/>
      <c r="E94" s="308">
        <f>SUM(AZ72:AZ91)</f>
        <v>971.78449183199984</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80" t="s">
        <v>757</v>
      </c>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580"/>
      <c r="AW98" s="580"/>
      <c r="AX98" s="580"/>
      <c r="AY98" s="580"/>
      <c r="AZ98" s="580"/>
      <c r="BA98" s="580"/>
      <c r="BB98" s="580" t="s">
        <v>758</v>
      </c>
      <c r="BC98" s="580"/>
      <c r="BD98" s="580"/>
      <c r="BE98" s="580"/>
      <c r="BF98" s="580"/>
      <c r="BG98" s="580"/>
      <c r="BH98" s="580"/>
      <c r="BI98" s="580"/>
      <c r="BJ98" s="580"/>
      <c r="BK98" s="580"/>
      <c r="BL98" s="580"/>
      <c r="BM98" s="580"/>
      <c r="BN98" s="580"/>
      <c r="BO98" s="580"/>
      <c r="BP98" s="580"/>
      <c r="BQ98" s="580"/>
      <c r="BR98" s="580"/>
      <c r="BS98" s="580"/>
      <c r="BT98" s="580"/>
      <c r="BU98" s="580"/>
      <c r="BV98" s="580"/>
      <c r="BW98" s="580"/>
      <c r="BX98" s="580"/>
      <c r="BY98" s="580"/>
      <c r="BZ98" s="580"/>
      <c r="CA98" s="580"/>
      <c r="CB98" s="580"/>
      <c r="CC98" s="580"/>
      <c r="CD98" s="580"/>
      <c r="CE98" s="580"/>
      <c r="CF98" s="580"/>
      <c r="CG98" s="580"/>
      <c r="CH98" s="580"/>
      <c r="CI98" s="580"/>
      <c r="CJ98" s="580"/>
      <c r="CK98" s="580"/>
      <c r="CL98" s="580"/>
      <c r="CM98" s="580"/>
      <c r="CN98" s="580"/>
      <c r="CO98" s="580"/>
      <c r="CP98" s="580"/>
      <c r="CQ98" s="580"/>
      <c r="CR98" s="580"/>
      <c r="CS98" s="580"/>
      <c r="CT98" s="580"/>
      <c r="CU98" s="580"/>
      <c r="CV98" s="580"/>
      <c r="CW98" s="580"/>
      <c r="CX98" s="580"/>
      <c r="CY98" s="580"/>
      <c r="CZ98" s="580"/>
      <c r="DA98" s="580" t="s">
        <v>759</v>
      </c>
      <c r="DB98" s="580"/>
      <c r="DC98" s="580"/>
      <c r="DD98" s="580"/>
      <c r="DE98" s="580"/>
      <c r="DF98" s="580"/>
      <c r="DG98" s="580"/>
      <c r="DH98" s="580"/>
      <c r="DI98" s="580"/>
      <c r="DJ98" s="580"/>
      <c r="DK98" s="580"/>
      <c r="DL98" s="580"/>
      <c r="DM98" s="580"/>
      <c r="DN98" s="580"/>
      <c r="DO98" s="580"/>
      <c r="DP98" s="580"/>
      <c r="DQ98" s="580"/>
      <c r="DR98" s="580"/>
      <c r="DS98" s="580"/>
      <c r="DT98" s="580"/>
      <c r="DU98" s="580"/>
      <c r="DV98" s="580"/>
      <c r="DW98" s="580"/>
      <c r="DX98" s="580"/>
      <c r="DY98" s="580"/>
      <c r="DZ98" s="580"/>
      <c r="EA98" s="580"/>
      <c r="EB98" s="580"/>
      <c r="EC98" s="580"/>
      <c r="ED98" s="580"/>
      <c r="EE98" s="580"/>
      <c r="EF98" s="580"/>
      <c r="EG98" s="580"/>
      <c r="EH98" s="580"/>
      <c r="EI98" s="580"/>
      <c r="EJ98" s="580"/>
      <c r="EK98" s="580"/>
      <c r="EL98" s="580"/>
      <c r="EM98" s="580"/>
      <c r="EN98" s="580"/>
      <c r="EO98" s="580"/>
      <c r="EP98" s="580"/>
      <c r="EQ98" s="580"/>
      <c r="ER98" s="580"/>
      <c r="ES98" s="580"/>
      <c r="ET98" s="580"/>
      <c r="EU98" s="580"/>
      <c r="EV98" s="580"/>
      <c r="EW98" s="580"/>
      <c r="EX98" s="580"/>
      <c r="EY98" s="580"/>
      <c r="EZ98" s="580" t="s">
        <v>760</v>
      </c>
      <c r="FA98" s="580"/>
      <c r="FB98" s="580"/>
      <c r="FC98" s="580"/>
      <c r="FD98" s="580"/>
      <c r="FE98" s="580"/>
      <c r="FF98" s="580"/>
      <c r="FG98" s="580"/>
      <c r="FH98" s="580"/>
      <c r="FI98" s="580"/>
      <c r="FJ98" s="580"/>
      <c r="FK98" s="580"/>
      <c r="FL98" s="580"/>
      <c r="FM98" s="580"/>
      <c r="FN98" s="580"/>
      <c r="FO98" s="580"/>
      <c r="FP98" s="580"/>
      <c r="FQ98" s="580"/>
      <c r="FR98" s="580"/>
      <c r="FS98" s="580"/>
      <c r="FT98" s="580"/>
      <c r="FU98" s="580"/>
      <c r="FV98" s="580"/>
      <c r="FW98" s="580"/>
      <c r="FX98" s="580"/>
      <c r="FY98" s="580"/>
      <c r="FZ98" s="580"/>
      <c r="GA98" s="580"/>
      <c r="GB98" s="580"/>
      <c r="GC98" s="580"/>
      <c r="GD98" s="580"/>
      <c r="GE98" s="580"/>
      <c r="GF98" s="580"/>
      <c r="GG98" s="580"/>
      <c r="GH98" s="580"/>
      <c r="GI98" s="580"/>
      <c r="GJ98" s="580"/>
      <c r="GK98" s="580"/>
      <c r="GL98" s="580"/>
      <c r="GM98" s="580"/>
      <c r="GN98" s="580"/>
      <c r="GO98" s="580"/>
      <c r="GP98" s="580"/>
      <c r="GQ98" s="580"/>
      <c r="GR98" s="580"/>
      <c r="GS98" s="580"/>
      <c r="GT98" s="580"/>
      <c r="GU98" s="580"/>
      <c r="GV98" s="580"/>
      <c r="GW98" s="580"/>
      <c r="GX98" s="580"/>
      <c r="GY98" s="580" t="s">
        <v>761</v>
      </c>
      <c r="GZ98" s="580"/>
      <c r="HA98" s="580"/>
      <c r="HB98" s="580"/>
      <c r="HC98" s="580"/>
      <c r="HD98" s="580"/>
      <c r="HE98" s="580"/>
      <c r="HF98" s="580"/>
      <c r="HG98" s="580"/>
      <c r="HH98" s="580"/>
      <c r="HI98" s="580"/>
      <c r="HJ98" s="580"/>
      <c r="HK98" s="580"/>
      <c r="HL98" s="580"/>
      <c r="HM98" s="580"/>
      <c r="HN98" s="580"/>
      <c r="HO98" s="580"/>
      <c r="HP98" s="580"/>
      <c r="HQ98" s="580"/>
      <c r="HR98" s="580"/>
      <c r="HS98" s="580"/>
      <c r="HT98" s="580"/>
      <c r="HU98" s="580"/>
      <c r="HV98" s="580"/>
      <c r="HW98" s="580"/>
      <c r="HX98" s="580"/>
      <c r="HY98" s="580"/>
      <c r="HZ98" s="580"/>
      <c r="IA98" s="580"/>
      <c r="IB98" s="580"/>
      <c r="IC98" s="580"/>
      <c r="ID98" s="580"/>
      <c r="IE98" s="580"/>
      <c r="IF98" s="580"/>
      <c r="IG98" s="580"/>
      <c r="IH98" s="580"/>
      <c r="II98" s="580"/>
      <c r="IJ98" s="580"/>
      <c r="IK98" s="580"/>
      <c r="IL98" s="580"/>
      <c r="IM98" s="580"/>
      <c r="IN98" s="580"/>
      <c r="IO98" s="580"/>
      <c r="IP98" s="580"/>
      <c r="IQ98" s="580"/>
      <c r="IR98" s="580"/>
      <c r="IS98" s="580"/>
      <c r="IT98" s="580"/>
      <c r="IU98" s="580"/>
      <c r="IV98" s="580"/>
      <c r="IW98" s="580"/>
    </row>
    <row r="99" spans="1:257" ht="14.45" hidden="1" customHeight="1" x14ac:dyDescent="0.25">
      <c r="C99" s="567" t="s">
        <v>755</v>
      </c>
      <c r="D99" s="567"/>
      <c r="E99" s="567"/>
      <c r="F99" s="567"/>
      <c r="G99" s="567"/>
      <c r="H99" s="567"/>
      <c r="I99" s="567"/>
      <c r="J99" s="567"/>
      <c r="K99" s="567"/>
      <c r="L99" s="560" t="s">
        <v>756</v>
      </c>
      <c r="M99" s="560"/>
      <c r="N99" s="560"/>
      <c r="O99" s="561" t="s">
        <v>674</v>
      </c>
      <c r="P99" s="562"/>
      <c r="Q99" s="562"/>
      <c r="R99" s="562"/>
      <c r="S99" s="562"/>
      <c r="T99" s="562"/>
      <c r="U99" s="562"/>
      <c r="V99" s="563"/>
      <c r="W99" s="585" t="s">
        <v>679</v>
      </c>
      <c r="X99" s="567" t="s">
        <v>586</v>
      </c>
      <c r="Y99" s="567"/>
      <c r="Z99" s="567"/>
      <c r="AA99" s="567"/>
      <c r="AB99" s="567"/>
      <c r="AC99" s="567"/>
      <c r="AD99" s="567"/>
      <c r="AE99" s="567"/>
      <c r="AF99" s="567"/>
      <c r="AG99" s="567"/>
      <c r="AH99" s="567"/>
      <c r="AI99" s="567"/>
      <c r="AJ99" s="560" t="s">
        <v>680</v>
      </c>
      <c r="AK99" s="560"/>
      <c r="AL99" s="560" t="s">
        <v>681</v>
      </c>
      <c r="AM99" s="560"/>
      <c r="AN99" s="560" t="s">
        <v>682</v>
      </c>
      <c r="AO99" s="560"/>
      <c r="AP99" s="564" t="s">
        <v>692</v>
      </c>
      <c r="AQ99" s="564"/>
      <c r="AR99" s="564"/>
      <c r="AS99" s="564"/>
      <c r="AT99" s="564"/>
      <c r="AU99" s="564"/>
      <c r="AV99" s="564"/>
      <c r="AW99" s="564"/>
      <c r="AX99" s="564"/>
      <c r="AY99" s="564"/>
      <c r="AZ99" s="564"/>
      <c r="BA99" s="564"/>
      <c r="BB99" s="567" t="s">
        <v>755</v>
      </c>
      <c r="BC99" s="567"/>
      <c r="BD99" s="567"/>
      <c r="BE99" s="567"/>
      <c r="BF99" s="567"/>
      <c r="BG99" s="567"/>
      <c r="BH99" s="567"/>
      <c r="BI99" s="567"/>
      <c r="BJ99" s="567"/>
      <c r="BK99" s="560" t="s">
        <v>756</v>
      </c>
      <c r="BL99" s="560"/>
      <c r="BM99" s="560"/>
      <c r="BN99" s="561" t="s">
        <v>674</v>
      </c>
      <c r="BO99" s="562"/>
      <c r="BP99" s="562"/>
      <c r="BQ99" s="562"/>
      <c r="BR99" s="562"/>
      <c r="BS99" s="562"/>
      <c r="BT99" s="562"/>
      <c r="BU99" s="563"/>
      <c r="BV99" s="585" t="s">
        <v>679</v>
      </c>
      <c r="BW99" s="567" t="s">
        <v>586</v>
      </c>
      <c r="BX99" s="567"/>
      <c r="BY99" s="567"/>
      <c r="BZ99" s="567"/>
      <c r="CA99" s="567"/>
      <c r="CB99" s="567"/>
      <c r="CC99" s="567"/>
      <c r="CD99" s="567"/>
      <c r="CE99" s="567"/>
      <c r="CF99" s="567"/>
      <c r="CG99" s="567"/>
      <c r="CH99" s="567"/>
      <c r="CI99" s="560" t="s">
        <v>680</v>
      </c>
      <c r="CJ99" s="560"/>
      <c r="CK99" s="560" t="s">
        <v>681</v>
      </c>
      <c r="CL99" s="560"/>
      <c r="CM99" s="560" t="s">
        <v>682</v>
      </c>
      <c r="CN99" s="560"/>
      <c r="CO99" s="564" t="s">
        <v>692</v>
      </c>
      <c r="CP99" s="564"/>
      <c r="CQ99" s="564"/>
      <c r="CR99" s="564"/>
      <c r="CS99" s="564"/>
      <c r="CT99" s="564"/>
      <c r="CU99" s="564"/>
      <c r="CV99" s="564"/>
      <c r="CW99" s="564"/>
      <c r="CX99" s="564"/>
      <c r="CY99" s="564"/>
      <c r="CZ99" s="564"/>
      <c r="DA99" s="567" t="s">
        <v>755</v>
      </c>
      <c r="DB99" s="567"/>
      <c r="DC99" s="567"/>
      <c r="DD99" s="567"/>
      <c r="DE99" s="567"/>
      <c r="DF99" s="567"/>
      <c r="DG99" s="567"/>
      <c r="DH99" s="567"/>
      <c r="DI99" s="567"/>
      <c r="DJ99" s="560" t="s">
        <v>756</v>
      </c>
      <c r="DK99" s="560"/>
      <c r="DL99" s="560"/>
      <c r="DM99" s="561" t="s">
        <v>674</v>
      </c>
      <c r="DN99" s="562"/>
      <c r="DO99" s="562"/>
      <c r="DP99" s="562"/>
      <c r="DQ99" s="562"/>
      <c r="DR99" s="562"/>
      <c r="DS99" s="562"/>
      <c r="DT99" s="563"/>
      <c r="DU99" s="585" t="s">
        <v>679</v>
      </c>
      <c r="DV99" s="567" t="s">
        <v>586</v>
      </c>
      <c r="DW99" s="567"/>
      <c r="DX99" s="567"/>
      <c r="DY99" s="567"/>
      <c r="DZ99" s="567"/>
      <c r="EA99" s="567"/>
      <c r="EB99" s="567"/>
      <c r="EC99" s="567"/>
      <c r="ED99" s="567"/>
      <c r="EE99" s="567"/>
      <c r="EF99" s="567"/>
      <c r="EG99" s="567"/>
      <c r="EH99" s="560" t="s">
        <v>680</v>
      </c>
      <c r="EI99" s="560"/>
      <c r="EJ99" s="560" t="s">
        <v>681</v>
      </c>
      <c r="EK99" s="560"/>
      <c r="EL99" s="560" t="s">
        <v>682</v>
      </c>
      <c r="EM99" s="560"/>
      <c r="EN99" s="564" t="s">
        <v>692</v>
      </c>
      <c r="EO99" s="564"/>
      <c r="EP99" s="564"/>
      <c r="EQ99" s="564"/>
      <c r="ER99" s="564"/>
      <c r="ES99" s="564"/>
      <c r="ET99" s="564"/>
      <c r="EU99" s="564"/>
      <c r="EV99" s="564"/>
      <c r="EW99" s="564"/>
      <c r="EX99" s="564"/>
      <c r="EY99" s="564"/>
      <c r="EZ99" s="567" t="s">
        <v>755</v>
      </c>
      <c r="FA99" s="567"/>
      <c r="FB99" s="567"/>
      <c r="FC99" s="567"/>
      <c r="FD99" s="567"/>
      <c r="FE99" s="567"/>
      <c r="FF99" s="567"/>
      <c r="FG99" s="567"/>
      <c r="FH99" s="567"/>
      <c r="FI99" s="560" t="s">
        <v>756</v>
      </c>
      <c r="FJ99" s="560"/>
      <c r="FK99" s="560"/>
      <c r="FL99" s="561" t="s">
        <v>674</v>
      </c>
      <c r="FM99" s="562"/>
      <c r="FN99" s="562"/>
      <c r="FO99" s="562"/>
      <c r="FP99" s="562"/>
      <c r="FQ99" s="562"/>
      <c r="FR99" s="562"/>
      <c r="FS99" s="563"/>
      <c r="FT99" s="585" t="s">
        <v>679</v>
      </c>
      <c r="FU99" s="567" t="s">
        <v>586</v>
      </c>
      <c r="FV99" s="567"/>
      <c r="FW99" s="567"/>
      <c r="FX99" s="567"/>
      <c r="FY99" s="567"/>
      <c r="FZ99" s="567"/>
      <c r="GA99" s="567"/>
      <c r="GB99" s="567"/>
      <c r="GC99" s="567"/>
      <c r="GD99" s="567"/>
      <c r="GE99" s="567"/>
      <c r="GF99" s="567"/>
      <c r="GG99" s="560" t="s">
        <v>680</v>
      </c>
      <c r="GH99" s="560"/>
      <c r="GI99" s="560" t="s">
        <v>681</v>
      </c>
      <c r="GJ99" s="560"/>
      <c r="GK99" s="560" t="s">
        <v>682</v>
      </c>
      <c r="GL99" s="560"/>
      <c r="GM99" s="564" t="s">
        <v>692</v>
      </c>
      <c r="GN99" s="564"/>
      <c r="GO99" s="564"/>
      <c r="GP99" s="564"/>
      <c r="GQ99" s="564"/>
      <c r="GR99" s="564"/>
      <c r="GS99" s="564"/>
      <c r="GT99" s="564"/>
      <c r="GU99" s="564"/>
      <c r="GV99" s="564"/>
      <c r="GW99" s="564"/>
      <c r="GX99" s="564"/>
      <c r="GY99" s="567" t="s">
        <v>755</v>
      </c>
      <c r="GZ99" s="567"/>
      <c r="HA99" s="567"/>
      <c r="HB99" s="567"/>
      <c r="HC99" s="567"/>
      <c r="HD99" s="567"/>
      <c r="HE99" s="567"/>
      <c r="HF99" s="567"/>
      <c r="HG99" s="567"/>
      <c r="HH99" s="560" t="s">
        <v>756</v>
      </c>
      <c r="HI99" s="560"/>
      <c r="HJ99" s="560"/>
      <c r="HK99" s="561" t="s">
        <v>674</v>
      </c>
      <c r="HL99" s="562"/>
      <c r="HM99" s="562"/>
      <c r="HN99" s="562"/>
      <c r="HO99" s="562"/>
      <c r="HP99" s="562"/>
      <c r="HQ99" s="562"/>
      <c r="HR99" s="563"/>
      <c r="HS99" s="585" t="s">
        <v>679</v>
      </c>
      <c r="HT99" s="567" t="s">
        <v>586</v>
      </c>
      <c r="HU99" s="567"/>
      <c r="HV99" s="567"/>
      <c r="HW99" s="567"/>
      <c r="HX99" s="567"/>
      <c r="HY99" s="567"/>
      <c r="HZ99" s="567"/>
      <c r="IA99" s="567"/>
      <c r="IB99" s="567"/>
      <c r="IC99" s="567"/>
      <c r="ID99" s="567"/>
      <c r="IE99" s="567"/>
      <c r="IF99" s="560" t="s">
        <v>680</v>
      </c>
      <c r="IG99" s="560"/>
      <c r="IH99" s="560" t="s">
        <v>681</v>
      </c>
      <c r="II99" s="560"/>
      <c r="IJ99" s="560" t="s">
        <v>682</v>
      </c>
      <c r="IK99" s="560"/>
      <c r="IL99" s="564" t="s">
        <v>692</v>
      </c>
      <c r="IM99" s="564"/>
      <c r="IN99" s="564"/>
      <c r="IO99" s="564"/>
      <c r="IP99" s="564"/>
      <c r="IQ99" s="564"/>
      <c r="IR99" s="564"/>
      <c r="IS99" s="564"/>
      <c r="IT99" s="564"/>
      <c r="IU99" s="564"/>
      <c r="IV99" s="564"/>
      <c r="IW99" s="564"/>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8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8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8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8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8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v>
      </c>
      <c r="C101" s="423">
        <f ca="1">IF(ISERROR(J46*M46*$N72-Q72),0,J46*M46*$N72-Q72)</f>
        <v>0</v>
      </c>
      <c r="D101" s="423">
        <f ca="1">IF(ISERROR(J46*$N72-Q72),0,J46*$N72-Q72)</f>
        <v>0</v>
      </c>
      <c r="E101" s="423">
        <f ca="1">IF(ISERROR(J46*M46*$O72-R72),0,J46*M46*$O72-R72)</f>
        <v>3887.1379673279998</v>
      </c>
      <c r="F101" s="423">
        <f ca="1">IF(ISERROR(J46*$O72-R72),0,J46*$O72-R72)</f>
        <v>5969.533306968</v>
      </c>
      <c r="G101" s="423">
        <f ca="1">IF(ISERROR(J46*M46*$P72-S72),0,J46*M46*$P72-S72)</f>
        <v>0</v>
      </c>
      <c r="H101" s="423">
        <f ca="1">IF(ISERROR(J46*$P72-S72),0,J46*$P72-S72)</f>
        <v>0</v>
      </c>
      <c r="I101" s="351" t="str">
        <f>IF(Exploitation!C89="","",Exploitation!C89)</f>
        <v/>
      </c>
      <c r="J101" s="351" t="str">
        <f>IF(Exploitation!D89="","",Exploitation!D89)</f>
        <v>CHAMP</v>
      </c>
      <c r="K101" s="351" t="str">
        <f>IF(Exploitation!E89="","",Exploitation!E89)</f>
        <v/>
      </c>
      <c r="L101" s="340" t="str">
        <f>IF(ISERROR(VLOOKUP(I101,Exploitation!$B$115:$E$119,3,FALSE)),"",VLOOKUP(I101,Exploitation!$B$115:$E$119,3,FALSE))</f>
        <v/>
      </c>
      <c r="M101" s="340" t="str">
        <f>IF(ISERROR(VLOOKUP(J101,Exploitation!$B$115:$E$119,3,FALSE)),"",VLOOKUP(J101,Exploitation!$B$115:$E$119,3,FALSE))</f>
        <v/>
      </c>
      <c r="N101" s="340" t="str">
        <f>IF(ISERROR(VLOOKUP(K101,Exploitation!$B$115:$E$119,3,FALSE)),"",VLOOKUP(K101,Exploitation!$B$115:$E$119,3,FALSE))</f>
        <v/>
      </c>
      <c r="O101" s="361">
        <f>IF(L101&lt;&gt;"",C101,0)</f>
        <v>0</v>
      </c>
      <c r="P101" s="361">
        <f>IF(L101&lt;&gt;"",D101,0)</f>
        <v>0</v>
      </c>
      <c r="Q101" s="361">
        <f>IF(M101&lt;&gt;"",E101,0)</f>
        <v>0</v>
      </c>
      <c r="R101" s="361">
        <f>IF(M101&lt;&gt;"",F101,0)</f>
        <v>0</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IF(ISERROR($Q101*VLOOKUP($M101,'Donnees d''entrée'!$B$470:$G$478,4,FALSE)),0,$Q101*VLOOKUP($M101,'Donnees d''entrée'!$B$470:$G$478,4,FALSE))</f>
        <v>0</v>
      </c>
      <c r="AC101" s="361">
        <f>IF(ISERROR($Q101*VLOOKUP($M101,'Donnees d''entrée'!$B$470:$G$478,5,FALSE)),0,$Q101*VLOOKUP($M101,'Donnees d''entrée'!$B$470:$G$478,5,FALSE))</f>
        <v>0</v>
      </c>
      <c r="AD101" s="361">
        <f>IF(ISERROR(R101*(1-VLOOKUP(M101,'Donnees d''entrée'!$B$470:$G$478,6,FALSE))),0,R101*(1-VLOOKUP(M101,'Donnees d''entrée'!$B$470:$G$478,6,FALSE)))</f>
        <v>0</v>
      </c>
      <c r="AE101" s="361">
        <f>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
      </c>
      <c r="AM101" s="351" t="str">
        <f>IF(ISERROR(VLOOKUP(J101,Exploitation!$B$115:$G$119,6,FALSE)),"",VLOOKUP(J101,Exploitation!$B$115:$G$119,6,FALSE))</f>
        <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CHAMP</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Fumier stocké au champ</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ca="1" si="113">IF($AT101&lt;&gt;"",E101,0)</f>
        <v>3887.1379673279998</v>
      </c>
      <c r="AY101" s="361">
        <f t="shared" ref="AY101:AY120" ca="1" si="114">IF($AT101&lt;&gt;"",F101,0)</f>
        <v>5969.533306968</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0</v>
      </c>
      <c r="BE101" s="361">
        <f ca="1">IF(ISERROR(V46*$V72-Y72),0,V46*$V72-Y72)</f>
        <v>0</v>
      </c>
      <c r="BF101" s="361">
        <f ca="1">IF(ISERROR(V46*Y46*$W72-Z72),0,V46*Y46*$W72-Z72)</f>
        <v>0</v>
      </c>
      <c r="BG101" s="361">
        <f ca="1">IF(ISERROR(V46*$W72-Z72),0,V46*$W72-Z72)</f>
        <v>0</v>
      </c>
      <c r="BH101" s="351" t="str">
        <f>IF(Exploitation!F89="","",Exploitation!F89)</f>
        <v/>
      </c>
      <c r="BI101" s="351" t="str">
        <f>IF(Exploitation!G89="","",Exploitation!G89)</f>
        <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
      </c>
      <c r="BM101" s="340" t="str">
        <f>IF(ISERROR(VLOOKUP(BJ101,Exploitation!$B$115:$E$119,3,FALSE)),"",VLOOKUP(BJ101,Exploitation!$B$115:$E$119,3,FALSE))</f>
        <v/>
      </c>
      <c r="BN101" s="361">
        <f>IF(BK101&lt;&gt;"",BB101,0)</f>
        <v>0</v>
      </c>
      <c r="BO101" s="361">
        <f>IF(BK101&lt;&gt;"",BC101,0)</f>
        <v>0</v>
      </c>
      <c r="BP101" s="361">
        <f>IF(BL101&lt;&gt;"",BD101,0)</f>
        <v>0</v>
      </c>
      <c r="BQ101" s="361">
        <f>IF(BL101&lt;&gt;"",BE101,0)</f>
        <v>0</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IF(ISERROR($BP101*VLOOKUP($BL101,'Donnees d''entrée'!$B$470:$G$478,4,FALSE)),0,$BP101*VLOOKUP($BL101,'Donnees d''entrée'!$B$470:$G$478,4,FALSE))</f>
        <v>0</v>
      </c>
      <c r="CB101" s="361">
        <f>IF(ISERROR($BP101*VLOOKUP($BL101,'Donnees d''entrée'!$B$470:$G$478,5,FALSE)),0,$BP101*VLOOKUP($BL101,'Donnees d''entrée'!$B$470:$G$478,5,FALSE))</f>
        <v>0</v>
      </c>
      <c r="CC101" s="361">
        <f>IF(ISERROR(BQ101*(1-VLOOKUP(BL101,'Donnees d''entrée'!$B$470:$G$478,6,FALSE))),0,BQ101*(1-VLOOKUP(BL101,'Donnees d''entrée'!$B$470:$G$478,6,FALSE)))</f>
        <v>0</v>
      </c>
      <c r="CD101" s="361">
        <f>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
      </c>
      <c r="CL101" s="351" t="str">
        <f>IF(ISERROR(VLOOKUP(BI101,Exploitation!$B$115:$G$119,6,FALSE)),"",VLOOKUP(BI101,Exploitation!$B$115:$G$119,6,FALSE))</f>
        <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
      </c>
      <c r="C102" s="423">
        <f t="shared" ref="C102:C120" ca="1" si="118">IF(ISERROR(J47*M47*$N73-Q73),0,J47*M47*$N73-Q73)</f>
        <v>0</v>
      </c>
      <c r="D102" s="423">
        <f t="shared" ref="D102:D120" ca="1" si="119">IF(ISERROR(J47*$N73-Q73),0,J47*$N73-Q73)</f>
        <v>0</v>
      </c>
      <c r="E102" s="423">
        <f t="shared" ref="E102:E120" ca="1" si="120">IF(ISERROR(J47*M47*$O73-R73),0,J47*M47*$O73-R73)</f>
        <v>0</v>
      </c>
      <c r="F102" s="423">
        <f t="shared" ref="F102:F120" ca="1" si="121">IF(ISERROR(J47*$O73-R73),0,J47*$O73-R73)</f>
        <v>0</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
      </c>
      <c r="K102" s="351" t="str">
        <f>IF(Exploitation!E90="","",Exploitation!E90)</f>
        <v/>
      </c>
      <c r="L102" s="340" t="str">
        <f>IF(ISERROR(VLOOKUP(I102,Exploitation!$B$115:$E$119,3,FALSE)),"",VLOOKUP(I102,Exploitation!$B$115:$E$119,3,FALSE))</f>
        <v/>
      </c>
      <c r="M102" s="340" t="str">
        <f>IF(ISERROR(VLOOKUP(J102,Exploitation!$B$115:$E$119,3,FALSE)),"",VLOOKUP(J102,Exploitation!$B$115:$E$119,3,FALSE))</f>
        <v/>
      </c>
      <c r="N102" s="340" t="str">
        <f>IF(ISERROR(VLOOKUP(K102,Exploitation!$B$115:$E$119,3,FALSE)),"",VLOOKUP(K102,Exploitation!$B$115:$E$119,3,FALSE))</f>
        <v/>
      </c>
      <c r="O102" s="361">
        <f t="shared" ref="O102:O120" si="124">IF(L102&lt;&gt;"",C102,0)</f>
        <v>0</v>
      </c>
      <c r="P102" s="361">
        <f t="shared" ref="P102:Q120" si="125">IF(L102&lt;&gt;"",D102,0)</f>
        <v>0</v>
      </c>
      <c r="Q102" s="361">
        <f t="shared" si="125"/>
        <v>0</v>
      </c>
      <c r="R102" s="361">
        <f t="shared" ref="R102:R120" si="126">IF(M102&lt;&gt;"",F102,0)</f>
        <v>0</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IF(ISERROR($Q102*VLOOKUP($M102,'Donnees d''entrée'!$B$470:$G$478,4,FALSE)),0,$Q102*VLOOKUP($M102,'Donnees d''entrée'!$B$470:$G$478,4,FALSE))</f>
        <v>0</v>
      </c>
      <c r="AC102" s="361">
        <f>IF(ISERROR($Q102*VLOOKUP($M102,'Donnees d''entrée'!$B$470:$G$478,5,FALSE)),0,$Q102*VLOOKUP($M102,'Donnees d''entrée'!$B$470:$G$478,5,FALSE))</f>
        <v>0</v>
      </c>
      <c r="AD102" s="361">
        <f>IF(ISERROR(R102*(1-VLOOKUP(M102,'Donnees d''entrée'!$B$470:$G$478,6,FALSE))),0,R102*(1-VLOOKUP(M102,'Donnees d''entrée'!$B$470:$G$478,6,FALSE)))</f>
        <v>0</v>
      </c>
      <c r="AE102" s="361">
        <f>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
      </c>
      <c r="AM102" s="351" t="str">
        <f>IF(ISERROR(VLOOKUP(J102,Exploitation!$B$115:$G$119,6,FALSE)),"",VLOOKUP(J102,Exploitation!$B$115:$G$119,6,FALSE))</f>
        <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0</v>
      </c>
      <c r="BE102" s="361">
        <f t="shared" ref="BE102:BE120" ca="1" si="133">IF(ISERROR(V47*$V73-Y73),0,V47*$V73-Y73)</f>
        <v>0</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si="138">IF(BL102&lt;&gt;"",BD102,0)</f>
        <v>0</v>
      </c>
      <c r="BQ102" s="361">
        <f t="shared" ref="BQ102:BQ120" si="139">IF(BL102&lt;&gt;"",BE102,0)</f>
        <v>0</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IF(ISERROR($BP102*VLOOKUP($BL102,'Donnees d''entrée'!$B$470:$G$478,4,FALSE)),0,$BP102*VLOOKUP($BL102,'Donnees d''entrée'!$B$470:$G$478,4,FALSE))</f>
        <v>0</v>
      </c>
      <c r="CB102" s="361">
        <f>IF(ISERROR($BP102*VLOOKUP($BL102,'Donnees d''entrée'!$B$470:$G$478,5,FALSE)),0,$BP102*VLOOKUP($BL102,'Donnees d''entrée'!$B$470:$G$478,5,FALSE))</f>
        <v>0</v>
      </c>
      <c r="CC102" s="361">
        <f>IF(ISERROR(BQ102*(1-VLOOKUP(BL102,'Donnees d''entrée'!$B$470:$G$478,6,FALSE))),0,BQ102*(1-VLOOKUP(BL102,'Donnees d''entrée'!$B$470:$G$478,6,FALSE)))</f>
        <v>0</v>
      </c>
      <c r="CD102" s="361">
        <f>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
      </c>
      <c r="CL102" s="351" t="str">
        <f>IF(ISERROR(VLOOKUP(BI102,Exploitation!$B$115:$G$119,6,FALSE)),"",VLOOKUP(BI102,Exploitation!$B$115:$G$119,6,FALSE))</f>
        <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
      </c>
      <c r="C103" s="423">
        <f t="shared" ca="1" si="118"/>
        <v>0</v>
      </c>
      <c r="D103" s="423">
        <f t="shared" ca="1" si="119"/>
        <v>0</v>
      </c>
      <c r="E103" s="423">
        <f t="shared" ca="1" si="120"/>
        <v>0</v>
      </c>
      <c r="F103" s="423">
        <f t="shared" ca="1" si="121"/>
        <v>0</v>
      </c>
      <c r="G103" s="423">
        <f t="shared" ca="1" si="122"/>
        <v>0</v>
      </c>
      <c r="H103" s="423">
        <f t="shared" ca="1" si="123"/>
        <v>0</v>
      </c>
      <c r="I103" s="351" t="str">
        <f>IF(Exploitation!C91="","",Exploitation!C91)</f>
        <v/>
      </c>
      <c r="J103" s="351" t="str">
        <f>IF(Exploitation!D91="","",Exploitation!D91)</f>
        <v/>
      </c>
      <c r="K103" s="351" t="str">
        <f>IF(Exploitation!E91="","",Exploitation!E91)</f>
        <v/>
      </c>
      <c r="L103" s="340" t="str">
        <f>IF(ISERROR(VLOOKUP(I103,Exploitation!$B$115:$E$119,3,FALSE)),"",VLOOKUP(I103,Exploitation!$B$115:$E$119,3,FALSE))</f>
        <v/>
      </c>
      <c r="M103" s="340" t="str">
        <f>IF(ISERROR(VLOOKUP(J103,Exploitation!$B$115:$E$119,3,FALSE)),"",VLOOKUP(J103,Exploitation!$B$115:$E$119,3,FALSE))</f>
        <v/>
      </c>
      <c r="N103" s="340" t="str">
        <f>IF(ISERROR(VLOOKUP(K103,Exploitation!$B$115:$E$119,3,FALSE)),"",VLOOKUP(K103,Exploitation!$B$115:$E$119,3,FALSE))</f>
        <v/>
      </c>
      <c r="O103" s="361">
        <f t="shared" si="124"/>
        <v>0</v>
      </c>
      <c r="P103" s="361">
        <f t="shared" si="125"/>
        <v>0</v>
      </c>
      <c r="Q103" s="361">
        <f t="shared" si="125"/>
        <v>0</v>
      </c>
      <c r="R103" s="361">
        <f t="shared" si="126"/>
        <v>0</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IF(ISERROR($Q103*VLOOKUP($M103,'Donnees d''entrée'!$B$470:$G$478,4,FALSE)),0,$Q103*VLOOKUP($M103,'Donnees d''entrée'!$B$470:$G$478,4,FALSE))</f>
        <v>0</v>
      </c>
      <c r="AC103" s="361">
        <f>IF(ISERROR($Q103*VLOOKUP($M103,'Donnees d''entrée'!$B$470:$G$478,5,FALSE)),0,$Q103*VLOOKUP($M103,'Donnees d''entrée'!$B$470:$G$478,5,FALSE))</f>
        <v>0</v>
      </c>
      <c r="AD103" s="361">
        <f>IF(ISERROR(R103*(1-VLOOKUP(M103,'Donnees d''entrée'!$B$470:$G$478,6,FALSE))),0,R103*(1-VLOOKUP(M103,'Donnees d''entrée'!$B$470:$G$478,6,FALSE)))</f>
        <v>0</v>
      </c>
      <c r="AE103" s="361">
        <f>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
      </c>
      <c r="AM103" s="351" t="str">
        <f>IF(ISERROR(VLOOKUP(J103,Exploitation!$B$115:$G$119,6,FALSE)),"",VLOOKUP(J103,Exploitation!$B$115:$G$119,6,FALSE))</f>
        <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0</v>
      </c>
      <c r="BE103" s="361">
        <f t="shared" ca="1" si="133"/>
        <v>0</v>
      </c>
      <c r="BF103" s="361">
        <f t="shared" ca="1" si="134"/>
        <v>0</v>
      </c>
      <c r="BG103" s="361">
        <f t="shared" ca="1" si="135"/>
        <v>0</v>
      </c>
      <c r="BH103" s="351" t="str">
        <f>IF(Exploitation!F91="","",Exploitation!F91)</f>
        <v/>
      </c>
      <c r="BI103" s="351" t="str">
        <f>IF(Exploitation!G91="","",Exploitation!G91)</f>
        <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
      </c>
      <c r="BM103" s="340" t="str">
        <f>IF(ISERROR(VLOOKUP(BJ103,Exploitation!$B$115:$E$119,3,FALSE)),"",VLOOKUP(BJ103,Exploitation!$B$115:$E$119,3,FALSE))</f>
        <v/>
      </c>
      <c r="BN103" s="361">
        <f t="shared" si="136"/>
        <v>0</v>
      </c>
      <c r="BO103" s="361">
        <f t="shared" si="137"/>
        <v>0</v>
      </c>
      <c r="BP103" s="361">
        <f t="shared" si="138"/>
        <v>0</v>
      </c>
      <c r="BQ103" s="361">
        <f t="shared" si="139"/>
        <v>0</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IF(ISERROR($BP103*VLOOKUP($BL103,'Donnees d''entrée'!$B$470:$G$478,4,FALSE)),0,$BP103*VLOOKUP($BL103,'Donnees d''entrée'!$B$470:$G$478,4,FALSE))</f>
        <v>0</v>
      </c>
      <c r="CB103" s="361">
        <f>IF(ISERROR($BP103*VLOOKUP($BL103,'Donnees d''entrée'!$B$470:$G$478,5,FALSE)),0,$BP103*VLOOKUP($BL103,'Donnees d''entrée'!$B$470:$G$478,5,FALSE))</f>
        <v>0</v>
      </c>
      <c r="CC103" s="361">
        <f>IF(ISERROR(BQ103*(1-VLOOKUP(BL103,'Donnees d''entrée'!$B$470:$G$478,6,FALSE))),0,BQ103*(1-VLOOKUP(BL103,'Donnees d''entrée'!$B$470:$G$478,6,FALSE)))</f>
        <v>0</v>
      </c>
      <c r="CD103" s="361">
        <f>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
      </c>
      <c r="CL103" s="351" t="str">
        <f>IF(ISERROR(VLOOKUP(BI103,Exploitation!$B$115:$G$119,6,FALSE)),"",VLOOKUP(BI103,Exploitation!$B$115:$G$119,6,FALSE))</f>
        <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80" t="s">
        <v>757</v>
      </c>
      <c r="D125" s="580"/>
      <c r="E125" s="580"/>
      <c r="F125" s="580"/>
      <c r="G125" s="580"/>
      <c r="H125" s="580"/>
      <c r="I125" s="580"/>
      <c r="J125" s="580"/>
      <c r="K125" s="580"/>
      <c r="L125" s="580"/>
      <c r="M125" s="580"/>
      <c r="N125" s="580"/>
      <c r="O125" s="580"/>
      <c r="P125" s="580"/>
      <c r="Q125" s="580"/>
      <c r="R125" s="580"/>
      <c r="S125" s="580"/>
      <c r="T125" s="580"/>
      <c r="U125" s="580" t="s">
        <v>758</v>
      </c>
      <c r="V125" s="580"/>
      <c r="W125" s="580"/>
      <c r="X125" s="580"/>
      <c r="Y125" s="580"/>
      <c r="Z125" s="580"/>
      <c r="AA125" s="580"/>
      <c r="AB125" s="580"/>
      <c r="AC125" s="580"/>
      <c r="AD125" s="580"/>
      <c r="AE125" s="580"/>
      <c r="AF125" s="580"/>
      <c r="AG125" s="580"/>
      <c r="AH125" s="580"/>
      <c r="AI125" s="580"/>
      <c r="AJ125" s="580"/>
      <c r="AK125" s="580"/>
      <c r="AL125" s="580"/>
      <c r="AM125" s="580" t="s">
        <v>759</v>
      </c>
      <c r="AN125" s="580"/>
      <c r="AO125" s="580"/>
      <c r="AP125" s="580"/>
      <c r="AQ125" s="580"/>
      <c r="AR125" s="580"/>
      <c r="AS125" s="580"/>
      <c r="AT125" s="580"/>
      <c r="AU125" s="580"/>
      <c r="AV125" s="580"/>
      <c r="AW125" s="580"/>
      <c r="AX125" s="580"/>
      <c r="AY125" s="580"/>
      <c r="AZ125" s="580"/>
      <c r="BA125" s="580"/>
      <c r="BB125" s="580"/>
      <c r="BC125" s="580"/>
      <c r="BD125" s="580"/>
      <c r="BE125" s="580" t="s">
        <v>760</v>
      </c>
      <c r="BF125" s="580"/>
      <c r="BG125" s="580"/>
      <c r="BH125" s="580"/>
      <c r="BI125" s="580"/>
      <c r="BJ125" s="580"/>
      <c r="BK125" s="580"/>
      <c r="BL125" s="580"/>
      <c r="BM125" s="580"/>
      <c r="BN125" s="580"/>
      <c r="BO125" s="580"/>
      <c r="BP125" s="580"/>
      <c r="BQ125" s="580"/>
      <c r="BR125" s="580"/>
      <c r="BS125" s="580"/>
      <c r="BT125" s="580"/>
      <c r="BU125" s="580"/>
      <c r="BV125" s="580"/>
      <c r="BW125" s="580" t="s">
        <v>761</v>
      </c>
      <c r="BX125" s="580"/>
      <c r="BY125" s="580"/>
      <c r="BZ125" s="580"/>
      <c r="CA125" s="580"/>
      <c r="CB125" s="580"/>
      <c r="CC125" s="580"/>
      <c r="CD125" s="580"/>
      <c r="CE125" s="580"/>
      <c r="CF125" s="580"/>
      <c r="CG125" s="580"/>
      <c r="CH125" s="580"/>
      <c r="CI125" s="580"/>
      <c r="CJ125" s="580"/>
      <c r="CK125" s="580"/>
      <c r="CL125" s="580"/>
      <c r="CM125" s="580"/>
      <c r="CN125" s="580"/>
      <c r="CQ125" s="567"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7"/>
    </row>
    <row r="127" spans="1:257" hidden="1" x14ac:dyDescent="0.25">
      <c r="A127" s="331">
        <v>1</v>
      </c>
      <c r="B127" s="280" t="str">
        <f>B101</f>
        <v>P1</v>
      </c>
      <c r="C127" s="340" t="str">
        <f>IF(AS101&lt;&gt;"",AS101,"")</f>
        <v/>
      </c>
      <c r="D127" s="340" t="str">
        <f>IF(ISERROR(IF(AT101&lt;&gt;"",AT101,VLOOKUP(IF(AJ101&lt;&gt;"",AJ101,IF(AL101&lt;&gt;"",AL101,IF(AN101&lt;&gt;"",AN101))),Exploitation!$B$123:$D$127,3,FALSE))),"",IF(AT101&lt;&gt;"",AT101,VLOOKUP(IF(AJ101&lt;&gt;"",AJ101,IF(AL101&lt;&gt;"",AL101,IF(AN101&lt;&gt;"",AN101))),Exploitation!$B$123:$D$127,3,FALSE)))</f>
        <v>Fumier stocké au champ</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3887.1379673279998</v>
      </c>
      <c r="I127" s="359">
        <f t="shared" ref="I127:I146" ca="1" si="197">IF($D127&lt;&gt;"",Z101+AD101+AH101+AY101,0)</f>
        <v>5969.533306968</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0.17</v>
      </c>
      <c r="O127" s="300">
        <f t="shared" ref="O127:O146" si="200">IF(ISERROR(VLOOKUP(C127,FA_stockage,2,FALSE)),0,VLOOKUP(C127,FA_stockage,2,FALSE))</f>
        <v>0</v>
      </c>
      <c r="P127" s="300">
        <f t="shared" ref="P127:P146" si="201">IF(ISERROR(VLOOKUP(D127,FA_stockage,2,FALSE)),0,VLOOKUP(D127,FA_stockage,2,FALSE))</f>
        <v>1</v>
      </c>
      <c r="Q127" s="300">
        <f t="shared" ref="Q127:Q146" si="202">IF(ISERROR(VLOOKUP(E127,FA_stockage,2,FALSE)),0,VLOOKUP(E127,FA_stockage,2,FALSE))</f>
        <v>0</v>
      </c>
      <c r="R127" s="357">
        <f>F127*$N127*O127</f>
        <v>0</v>
      </c>
      <c r="S127" s="362">
        <f t="shared" ref="S127:S146" ca="1" si="203">H127*$N127*P127</f>
        <v>660.81345444576004</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IF($V127&lt;&gt;"",BW101+CA101+CE101+CW101,0)</f>
        <v>0</v>
      </c>
      <c r="AA127" s="359">
        <f>IF($V127&lt;&gt;"",BY101+CC101+CG101+CX101,0)</f>
        <v>0</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660.81345444576004</v>
      </c>
    </row>
    <row r="128" spans="1:257" hidden="1" x14ac:dyDescent="0.25">
      <c r="A128" s="331">
        <v>2</v>
      </c>
      <c r="B128" s="280" t="str">
        <f t="shared" ref="B128:B146" si="220">B102</f>
        <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si="196"/>
        <v>0</v>
      </c>
      <c r="I128" s="359">
        <f t="shared" si="197"/>
        <v>0</v>
      </c>
      <c r="J128" s="359">
        <f t="shared" si="198"/>
        <v>0</v>
      </c>
      <c r="K128" s="359">
        <f t="shared" ref="K128:K146" si="223">IF($E128&lt;&gt;"",AA102+AE102+AI102+BA102,0)</f>
        <v>0</v>
      </c>
      <c r="L128" s="329">
        <f>(K128-J128)*'Donnees d''entrée'!$C$493</f>
        <v>0</v>
      </c>
      <c r="M128" s="329">
        <f t="shared" ref="M128:M146" si="224">J128+L128</f>
        <v>0</v>
      </c>
      <c r="N128" s="358">
        <f t="shared" si="199"/>
        <v>0</v>
      </c>
      <c r="O128" s="300">
        <f t="shared" si="200"/>
        <v>0</v>
      </c>
      <c r="P128" s="300">
        <f t="shared" si="201"/>
        <v>0</v>
      </c>
      <c r="Q128" s="300">
        <f t="shared" si="202"/>
        <v>0</v>
      </c>
      <c r="R128" s="357">
        <f t="shared" ref="R128:R146" si="225">F128*$N128*O128</f>
        <v>0</v>
      </c>
      <c r="S128" s="362">
        <f t="shared"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si="230">IF($V128&lt;&gt;"",BW102+CA102+CE102+CW102,0)</f>
        <v>0</v>
      </c>
      <c r="AA128" s="359">
        <f t="shared" ref="AA128:AA145" si="231">IF($V128&lt;&gt;"",BY102+CC102+CG102+CX102,0)</f>
        <v>0</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v>
      </c>
      <c r="AG128" s="300">
        <f t="shared" si="205"/>
        <v>0</v>
      </c>
      <c r="AH128" s="300">
        <f t="shared" si="206"/>
        <v>0</v>
      </c>
      <c r="AI128" s="300">
        <f t="shared" si="207"/>
        <v>0</v>
      </c>
      <c r="AJ128" s="357">
        <f t="shared" ref="AJ128:AJ146" si="235">X128*$AF128*AG128</f>
        <v>0</v>
      </c>
      <c r="AK128" s="357">
        <f t="shared" ref="AK128:AK146"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si="271">SUM(R128:T128,AJ128:AL128,BB128:BD128,BT128:BV128,CL128:CN128)</f>
        <v>0</v>
      </c>
    </row>
    <row r="129" spans="1:95" hidden="1" x14ac:dyDescent="0.25">
      <c r="A129" s="331">
        <v>3</v>
      </c>
      <c r="B129" s="280" t="str">
        <f t="shared" si="220"/>
        <v/>
      </c>
      <c r="C129" s="340" t="str">
        <f t="shared" si="221"/>
        <v/>
      </c>
      <c r="D129" s="340" t="str">
        <f>IF(ISERROR(IF(AT103&lt;&gt;"",AT103,VLOOKUP(IF(AJ103&lt;&gt;"",AJ103,IF(AL103&lt;&gt;"",AL103,IF(AN103&lt;&gt;"",AN103))),Exploitation!$B$123:$D$127,3,FALSE))),"",IF(AT103&lt;&gt;"",AT103,VLOOKUP(IF(AJ103&lt;&gt;"",AJ103,IF(AL103&lt;&gt;"",AL103,IF(AN103&lt;&gt;"",AN103))),Exploitation!$B$123:$D$127,3,FALSE)))</f>
        <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si="196"/>
        <v>0</v>
      </c>
      <c r="I129" s="359">
        <f t="shared" si="197"/>
        <v>0</v>
      </c>
      <c r="J129" s="359">
        <f t="shared" si="198"/>
        <v>0</v>
      </c>
      <c r="K129" s="359">
        <f t="shared" si="223"/>
        <v>0</v>
      </c>
      <c r="L129" s="329">
        <f>(K129-J129)*'Donnees d''entrée'!$C$493</f>
        <v>0</v>
      </c>
      <c r="M129" s="329">
        <f t="shared" si="224"/>
        <v>0</v>
      </c>
      <c r="N129" s="358">
        <f t="shared" si="199"/>
        <v>0</v>
      </c>
      <c r="O129" s="300">
        <f t="shared" si="200"/>
        <v>0</v>
      </c>
      <c r="P129" s="300">
        <f t="shared" si="201"/>
        <v>0</v>
      </c>
      <c r="Q129" s="300">
        <f t="shared" si="202"/>
        <v>0</v>
      </c>
      <c r="R129" s="357">
        <f t="shared" si="225"/>
        <v>0</v>
      </c>
      <c r="S129" s="362">
        <f t="shared"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si="230"/>
        <v>0</v>
      </c>
      <c r="AA129" s="359">
        <f t="shared" si="231"/>
        <v>0</v>
      </c>
      <c r="AB129" s="359">
        <f t="shared" si="232"/>
        <v>0</v>
      </c>
      <c r="AC129" s="359">
        <f t="shared" si="233"/>
        <v>0</v>
      </c>
      <c r="AD129" s="329">
        <f>(AC129-AB129)*'Donnees d''entrée'!$C$493</f>
        <v>0</v>
      </c>
      <c r="AE129" s="329">
        <f t="shared" si="234"/>
        <v>0</v>
      </c>
      <c r="AF129" s="358">
        <f t="shared" si="204"/>
        <v>0</v>
      </c>
      <c r="AG129" s="300">
        <f t="shared" si="205"/>
        <v>0</v>
      </c>
      <c r="AH129" s="300">
        <f t="shared" si="206"/>
        <v>0</v>
      </c>
      <c r="AI129" s="300">
        <f t="shared" si="207"/>
        <v>0</v>
      </c>
      <c r="AJ129" s="357">
        <f t="shared" si="235"/>
        <v>0</v>
      </c>
      <c r="AK129" s="357">
        <f t="shared"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6" t="s">
        <v>297</v>
      </c>
      <c r="C150" s="576"/>
      <c r="D150" s="576"/>
      <c r="E150" s="308">
        <f ca="1">SUM($CQ$127:$CQ$146)</f>
        <v>660.81345444576004</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77" t="s">
        <v>196</v>
      </c>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84" t="s">
        <v>197</v>
      </c>
      <c r="AK155" s="584"/>
      <c r="AL155" s="584"/>
      <c r="AM155" s="584"/>
      <c r="AN155" s="584"/>
      <c r="AO155" s="584"/>
      <c r="AP155" s="584"/>
      <c r="AQ155" s="584"/>
      <c r="AR155" s="584"/>
      <c r="AS155" s="584"/>
      <c r="AT155" s="584"/>
      <c r="AU155" s="584"/>
      <c r="AV155" s="584"/>
      <c r="AW155" s="584"/>
      <c r="AX155" s="584"/>
      <c r="AY155" s="584"/>
      <c r="AZ155" s="584"/>
      <c r="BA155" s="584"/>
      <c r="BB155" s="584"/>
      <c r="BC155" s="584"/>
      <c r="BD155" s="584"/>
      <c r="BE155" s="584"/>
      <c r="BF155" s="584"/>
      <c r="BG155" s="584"/>
      <c r="BH155" s="584"/>
      <c r="BI155" s="584"/>
      <c r="BJ155" s="584"/>
      <c r="BK155" s="584"/>
      <c r="BL155" s="584"/>
      <c r="BM155" s="584"/>
      <c r="BN155" s="584"/>
      <c r="BO155" s="584"/>
      <c r="BP155" s="584"/>
      <c r="BQ155" s="584" t="s">
        <v>236</v>
      </c>
      <c r="BR155" s="584"/>
      <c r="BS155" s="584"/>
      <c r="BT155" s="584"/>
      <c r="BU155" s="584"/>
      <c r="BV155" s="584"/>
      <c r="BW155" s="584"/>
      <c r="BX155" s="584"/>
      <c r="BY155" s="584"/>
      <c r="BZ155" s="584"/>
      <c r="CA155" s="584"/>
      <c r="CB155" s="584"/>
      <c r="CC155" s="584"/>
      <c r="CD155" s="584"/>
      <c r="CE155" s="584"/>
      <c r="CF155" s="584"/>
      <c r="CG155" s="584"/>
      <c r="CH155" s="584"/>
      <c r="CI155" s="584"/>
      <c r="CJ155" s="584"/>
      <c r="CK155" s="584"/>
      <c r="CL155" s="584"/>
      <c r="CM155" s="584"/>
      <c r="CN155" s="584"/>
      <c r="CO155" s="584"/>
      <c r="CP155" s="584"/>
      <c r="CQ155" s="584"/>
      <c r="CR155" s="584"/>
      <c r="CS155" s="584"/>
      <c r="CT155" s="584"/>
      <c r="CU155" s="584"/>
      <c r="CV155" s="584"/>
      <c r="CW155" s="584"/>
      <c r="CX155" s="584" t="s">
        <v>454</v>
      </c>
      <c r="CY155" s="584"/>
      <c r="CZ155" s="584"/>
      <c r="DA155" s="584"/>
      <c r="DB155" s="584"/>
      <c r="DC155" s="584"/>
      <c r="DD155" s="584"/>
      <c r="DE155" s="584"/>
      <c r="DF155" s="584"/>
      <c r="DG155" s="584"/>
      <c r="DH155" s="584"/>
      <c r="DI155" s="584"/>
      <c r="DJ155" s="584"/>
      <c r="DK155" s="584"/>
      <c r="DL155" s="584"/>
      <c r="DM155" s="584"/>
      <c r="DN155" s="584"/>
      <c r="DO155" s="584"/>
      <c r="DP155" s="584"/>
      <c r="DQ155" s="584"/>
      <c r="DR155" s="584"/>
      <c r="DS155" s="584"/>
      <c r="DT155" s="584"/>
      <c r="DU155" s="584"/>
      <c r="DV155" s="584"/>
      <c r="DW155" s="584"/>
      <c r="DX155" s="584"/>
      <c r="DY155" s="584"/>
      <c r="DZ155" s="584"/>
      <c r="EA155" s="584"/>
      <c r="EB155" s="584"/>
      <c r="EC155" s="584"/>
      <c r="ED155" s="584"/>
      <c r="EE155" s="584" t="s">
        <v>455</v>
      </c>
      <c r="EF155" s="584"/>
      <c r="EG155" s="584"/>
      <c r="EH155" s="584"/>
      <c r="EI155" s="584"/>
      <c r="EJ155" s="584"/>
      <c r="EK155" s="584"/>
      <c r="EL155" s="584"/>
      <c r="EM155" s="584"/>
      <c r="EN155" s="584"/>
      <c r="EO155" s="584"/>
      <c r="EP155" s="584"/>
      <c r="EQ155" s="584"/>
      <c r="ER155" s="584"/>
      <c r="ES155" s="584"/>
      <c r="ET155" s="584"/>
      <c r="EU155" s="584"/>
      <c r="EV155" s="584"/>
      <c r="EW155" s="584"/>
      <c r="EX155" s="584"/>
      <c r="EY155" s="584"/>
      <c r="EZ155" s="584"/>
      <c r="FA155" s="584"/>
      <c r="FB155" s="584"/>
      <c r="FC155" s="584"/>
      <c r="FD155" s="584"/>
      <c r="FE155" s="584"/>
      <c r="FF155" s="584"/>
      <c r="FG155" s="584"/>
      <c r="FH155" s="584"/>
      <c r="FI155" s="584"/>
      <c r="FJ155" s="584"/>
      <c r="FK155" s="584"/>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v>
      </c>
      <c r="C157" s="280" t="str">
        <f>AP101</f>
        <v/>
      </c>
      <c r="D157" s="280" t="str">
        <f>IF(ISERROR(IF(AQ101&lt;&gt;"",AQ101,VLOOKUP(IF(AJ101&lt;&gt;"",AJ101,IF(AL101&lt;&gt;"",AL101,IF(AN101&lt;&gt;"",AN101))),Exploitation!$B$123:$D$127,1,FALSE))),"",IF(AQ101&lt;&gt;"",AQ101,VLOOKUP(IF(AJ101&lt;&gt;"",AJ101,IF(AL101&lt;&gt;"",AL101,IF(AN101&lt;&gt;"",AN101))),Exploitation!$B$123:$D$127,1,FALSE)))</f>
        <v>CHAMP</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3887.1379673279998</v>
      </c>
      <c r="I157" s="361">
        <f ca="1">I127</f>
        <v>5969.533306968</v>
      </c>
      <c r="J157" s="361">
        <f>M127</f>
        <v>0</v>
      </c>
      <c r="K157" s="361">
        <f>K127</f>
        <v>0</v>
      </c>
      <c r="L157" s="361">
        <f>R127</f>
        <v>0</v>
      </c>
      <c r="M157" s="361">
        <f t="shared" ref="M157:N172" ca="1" si="272">S127</f>
        <v>660.81345444576004</v>
      </c>
      <c r="N157" s="361">
        <f>T127</f>
        <v>0</v>
      </c>
      <c r="O157" s="361">
        <f>F157*'Donnees d''entrée'!$C$511</f>
        <v>0</v>
      </c>
      <c r="P157" s="296">
        <f ca="1">H157*'Donnees d''entrée'!$C$511</f>
        <v>38.871379673279996</v>
      </c>
      <c r="Q157" s="296">
        <f>J157*'Donnees d''entrée'!$C$512</f>
        <v>0</v>
      </c>
      <c r="R157" s="296">
        <f ca="1">IF(ISERROR(J46*'Donnees d''entrée'!$C$674*(G157/(G157+I157+K157))),0,J46*'Donnees d''entrée'!$C$674*(G157/(G157+I157+K157)))</f>
        <v>0</v>
      </c>
      <c r="S157" s="361">
        <f ca="1">IF(ISERROR(J46*'Donnees d''entrée'!$C$674*(I157/(G157+I157+K157))),0,J46*'Donnees d''entrée'!$C$674*(I157/(G157+I157+K157)))</f>
        <v>6.9413177988000001</v>
      </c>
      <c r="T157" s="361">
        <f ca="1">IF(ISERROR(J46*'Donnees d''entrée'!$C$674*(K157/(G157+I157+K157))),0,J46*'Donnees d''entrée'!$C$674*(K157/(G157+I157+K157)))</f>
        <v>0</v>
      </c>
      <c r="U157" s="361">
        <f>F157*'Donnees d''entrée'!$C$513</f>
        <v>0</v>
      </c>
      <c r="V157" s="361">
        <f ca="1">H157*'Donnees d''entrée'!$C$513</f>
        <v>1166.1413901983999</v>
      </c>
      <c r="W157" s="361">
        <f>J157*'Donnees d''entrée'!$C$514</f>
        <v>0</v>
      </c>
      <c r="X157" s="361">
        <f>F157*'Donnees d''entrée'!$C$515</f>
        <v>0</v>
      </c>
      <c r="Y157" s="361">
        <f ca="1">H157*'Donnees d''entrée'!$C$515</f>
        <v>466.45655607935998</v>
      </c>
      <c r="Z157" s="296">
        <f ca="1">F157-L157-O157-R157-U157-X157</f>
        <v>0</v>
      </c>
      <c r="AA157" s="296">
        <f ca="1">H157-M157-P157-S157-V157-Y157</f>
        <v>1547.9138691324001</v>
      </c>
      <c r="AB157" s="296">
        <f ca="1">J157-N157-Q157-T157-W157</f>
        <v>0</v>
      </c>
      <c r="AC157" s="358">
        <f t="shared" ref="AC157:AC176" si="273">IF(ISERROR(VLOOKUP(E46,FE_NH3,4,FALSE)),0,VLOOKUP(E46,FE_NH3,4,FALSE))</f>
        <v>0.66</v>
      </c>
      <c r="AD157" s="296">
        <f ca="1">Z157*$AC157</f>
        <v>0</v>
      </c>
      <c r="AE157" s="296">
        <f t="shared" ref="AE157:AF172" ca="1" si="274">AA157*$AC157</f>
        <v>1021.6231536273841</v>
      </c>
      <c r="AF157" s="296">
        <f t="shared" ca="1" si="274"/>
        <v>0</v>
      </c>
      <c r="AG157" s="296">
        <f ca="1">G157-L157-O157-R157-U157-X157</f>
        <v>0</v>
      </c>
      <c r="AH157" s="296">
        <f ca="1">I157-M157-P157-S157-V157-Y157</f>
        <v>3630.3092087724008</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si="275"/>
        <v>0</v>
      </c>
      <c r="AP157" s="361">
        <f t="shared" si="275"/>
        <v>0</v>
      </c>
      <c r="AQ157" s="361">
        <f>AE127</f>
        <v>0</v>
      </c>
      <c r="AR157" s="361">
        <f>AC127</f>
        <v>0</v>
      </c>
      <c r="AS157" s="361">
        <f>AJ127</f>
        <v>0</v>
      </c>
      <c r="AT157" s="361">
        <f>AK127</f>
        <v>0</v>
      </c>
      <c r="AU157" s="361">
        <f>AL127</f>
        <v>0</v>
      </c>
      <c r="AV157" s="361">
        <f>AM157*'Donnees d''entrée'!$C$511</f>
        <v>0</v>
      </c>
      <c r="AW157" s="296">
        <f>AO157*'Donnees d''entrée'!$C$511</f>
        <v>0</v>
      </c>
      <c r="AX157" s="296">
        <f>AQ157*'Donnees d''entrée'!$C$512</f>
        <v>0</v>
      </c>
      <c r="AY157" s="296">
        <f>IF(ISERROR(V46*'Donnees d''entrée'!$C$674*(AN157/(AN157+AP157+AR157))),0,V46*'Donnees d''entrée'!$C$674*(AN157/(AN157+AP157+AR157)))</f>
        <v>0</v>
      </c>
      <c r="AZ157" s="361">
        <f>IF(ISERROR(V46*'Donnees d''entrée'!$C$674*(AP157/(AN157+AP157+AR157))),0,V46*'Donnees d''entrée'!$C$674*(AP157/(AN157+AP157+AR157)))</f>
        <v>0</v>
      </c>
      <c r="BA157" s="361">
        <f>IF(ISERROR(V46*'Donnees d''entrée'!$C$674*(AR157/(AN157+AP157+AR157))),0,V46*'Donnees d''entrée'!$C$674*(AR157/(AN157+AP157+AR157)))</f>
        <v>0</v>
      </c>
      <c r="BB157" s="361">
        <f>AM157*'Donnees d''entrée'!$C$513</f>
        <v>0</v>
      </c>
      <c r="BC157" s="361">
        <f>AO157*'Donnees d''entrée'!$C$513</f>
        <v>0</v>
      </c>
      <c r="BD157" s="361">
        <f>AQ157*'Donnees d''entrée'!$C$514</f>
        <v>0</v>
      </c>
      <c r="BE157" s="361">
        <f>AM157*'Donnees d''entrée'!$C$515</f>
        <v>0</v>
      </c>
      <c r="BF157" s="361">
        <f>AO157*'Donnees d''entrée'!$C$515</f>
        <v>0</v>
      </c>
      <c r="BG157" s="296">
        <f>AM157-AS157-AV157-AY157-BB157-BE157</f>
        <v>0</v>
      </c>
      <c r="BH157" s="296">
        <f>AO157-AT157-AW157-AZ157-BC157-BF157</f>
        <v>0</v>
      </c>
      <c r="BI157" s="296">
        <f>AQ157-AU157-AX157-BA157-BD157</f>
        <v>0</v>
      </c>
      <c r="BJ157" s="358">
        <f t="shared" ref="BJ157:BJ176" si="276">IF(ISERROR(VLOOKUP(Q46,FE_NH3,4,FALSE)),0,VLOOKUP(Q46,FE_NH3,4,FALSE))</f>
        <v>0</v>
      </c>
      <c r="BK157" s="296">
        <f>BG157*$BJ157</f>
        <v>0</v>
      </c>
      <c r="BL157" s="296">
        <f t="shared" ref="BL157:BM172" si="277">BH157*$BJ157</f>
        <v>0</v>
      </c>
      <c r="BM157" s="296">
        <f>BI157*$BJ157</f>
        <v>0</v>
      </c>
      <c r="BN157" s="296">
        <f>AN157-AS157-AV157-AY157-BB157-BE157</f>
        <v>0</v>
      </c>
      <c r="BO157" s="296">
        <f>AP157-AT157-AW157-AZ157-BC157-BF157</f>
        <v>0</v>
      </c>
      <c r="BP157" s="296">
        <f>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38.871379673279996</v>
      </c>
      <c r="FO157" s="370">
        <f ca="1">SUM(R157:T157,AY157:BA157,CF157:CH157,DM157:DO157,ET157:EV157)</f>
        <v>6.9413177988000001</v>
      </c>
      <c r="FP157" s="370">
        <f ca="1">SUM(U157:W157,BB157:BD157,CI157:CK157,DP157:DR157,EW157:EY157)</f>
        <v>1166.1413901983999</v>
      </c>
      <c r="FQ157" s="370">
        <f ca="1">SUM(X157:Y157,BE157:BF157,CL157:CM157,DS157:DT157,EZ157:FA157)</f>
        <v>466.45655607935998</v>
      </c>
      <c r="FR157"/>
      <c r="FS157" s="370">
        <f ca="1">G157+I157+K157+AN157+AP157+AR157+BU157+BW157+BY157+DB157+DD157+DF157+EK157+EM157+EI157</f>
        <v>5969.533306968</v>
      </c>
      <c r="FT157" s="370">
        <f ca="1">SUM(L157:N157,AS157:AU157,BZ157:CB157,DG157:DI157,EN157:EP157)</f>
        <v>660.81345444576004</v>
      </c>
      <c r="FU157" s="370">
        <f ca="1">SUM(AG157:AI157,BN157:BP157,CU157:CW157,EB157:ED157,FI157:FK157)</f>
        <v>3630.3092087724008</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si="290">H128</f>
        <v>0</v>
      </c>
      <c r="I158" s="361">
        <f t="shared" si="290"/>
        <v>0</v>
      </c>
      <c r="J158" s="361">
        <f t="shared" ref="J158:J176" si="291">M128</f>
        <v>0</v>
      </c>
      <c r="K158" s="361">
        <f t="shared" ref="K158:K176" si="292">K128</f>
        <v>0</v>
      </c>
      <c r="L158" s="361">
        <f t="shared" ref="L158:L176" si="293">R128</f>
        <v>0</v>
      </c>
      <c r="M158" s="361">
        <f t="shared" si="272"/>
        <v>0</v>
      </c>
      <c r="N158" s="361">
        <f t="shared" si="272"/>
        <v>0</v>
      </c>
      <c r="O158" s="361">
        <f>F158*'Donnees d''entrée'!$C$511</f>
        <v>0</v>
      </c>
      <c r="P158" s="296">
        <f>H158*'Donnees d''entrée'!$C$511</f>
        <v>0</v>
      </c>
      <c r="Q158" s="296">
        <f>J158*'Donnees d''entrée'!$C$512</f>
        <v>0</v>
      </c>
      <c r="R158" s="296">
        <f>IF(ISERROR(J47*'Donnees d''entrée'!$C$674*(G158/(G158+I158+K158))),0,J47*'Donnees d''entrée'!$C$674*(G158/(G158+I158+K158)))</f>
        <v>0</v>
      </c>
      <c r="S158" s="361">
        <f>IF(ISERROR(J47*'Donnees d''entrée'!$C$674*(I158/(G158+I158+K158))),0,J47*'Donnees d''entrée'!$C$674*(I158/(G158+I158+K158)))</f>
        <v>0</v>
      </c>
      <c r="T158" s="361">
        <f>IF(ISERROR(J47*'Donnees d''entrée'!$C$674*(K158/(G158+I158+K158))),0,J47*'Donnees d''entrée'!$C$674*(K158/(G158+I158+K158)))</f>
        <v>0</v>
      </c>
      <c r="U158" s="361">
        <f>F158*'Donnees d''entrée'!$C$513</f>
        <v>0</v>
      </c>
      <c r="V158" s="361">
        <f>H158*'Donnees d''entrée'!$C$513</f>
        <v>0</v>
      </c>
      <c r="W158" s="361">
        <f>J158*'Donnees d''entrée'!$C$514</f>
        <v>0</v>
      </c>
      <c r="X158" s="361">
        <f>F158*'Donnees d''entrée'!$C$515</f>
        <v>0</v>
      </c>
      <c r="Y158" s="361">
        <f>H158*'Donnees d''entrée'!$C$515</f>
        <v>0</v>
      </c>
      <c r="Z158" s="296">
        <f t="shared" ref="Z158:Z176" si="294">F158-L158-O158-R158-U158-X158</f>
        <v>0</v>
      </c>
      <c r="AA158" s="296">
        <f>H158-M158-P158-S158-V158-Y158</f>
        <v>0</v>
      </c>
      <c r="AB158" s="296">
        <f t="shared" ref="AB158:AB176" si="295">J158-N158-Q158-T158-W158</f>
        <v>0</v>
      </c>
      <c r="AC158" s="358">
        <f t="shared" si="273"/>
        <v>0</v>
      </c>
      <c r="AD158" s="296">
        <f t="shared" ref="AD158:AD176" si="296">Z158*$AC158</f>
        <v>0</v>
      </c>
      <c r="AE158" s="296">
        <f>AA158*$AC158</f>
        <v>0</v>
      </c>
      <c r="AF158" s="296">
        <f t="shared" si="274"/>
        <v>0</v>
      </c>
      <c r="AG158" s="296">
        <f t="shared" ref="AG158:AG176" si="297">G158-L158-O158-R158-U158-X158</f>
        <v>0</v>
      </c>
      <c r="AH158" s="296">
        <f t="shared" ref="AH158:AH176" si="298">I158-M158-P158-S158-V158-Y158</f>
        <v>0</v>
      </c>
      <c r="AI158" s="296">
        <f t="shared" ref="AI158:AI176"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si="275"/>
        <v>0</v>
      </c>
      <c r="AP158" s="361">
        <f t="shared" si="275"/>
        <v>0</v>
      </c>
      <c r="AQ158" s="361">
        <f t="shared" ref="AQ158:AQ176" si="302">AE128</f>
        <v>0</v>
      </c>
      <c r="AR158" s="361">
        <f t="shared" si="275"/>
        <v>0</v>
      </c>
      <c r="AS158" s="361">
        <f t="shared" ref="AS158:AU176" si="303">AJ128</f>
        <v>0</v>
      </c>
      <c r="AT158" s="361">
        <f t="shared" si="303"/>
        <v>0</v>
      </c>
      <c r="AU158" s="361">
        <f t="shared" si="303"/>
        <v>0</v>
      </c>
      <c r="AV158" s="361">
        <f>AM158*'Donnees d''entrée'!$C$511</f>
        <v>0</v>
      </c>
      <c r="AW158" s="296">
        <f>AO158*'Donnees d''entrée'!$C$511</f>
        <v>0</v>
      </c>
      <c r="AX158" s="296">
        <f>AQ158*'Donnees d''entrée'!$C$512</f>
        <v>0</v>
      </c>
      <c r="AY158" s="296">
        <f>IF(ISERROR(V47*'Donnees d''entrée'!$C$674*(AN158/(AN158+AP158+AR158))),0,V47*'Donnees d''entrée'!$C$674*(AN158/(AN158+AP158+AR158)))</f>
        <v>0</v>
      </c>
      <c r="AZ158" s="361">
        <f>IF(ISERROR(V47*'Donnees d''entrée'!$C$674*(AP158/(AN158+AP158+AR158))),0,V47*'Donnees d''entrée'!$C$674*(AP158/(AN158+AP158+AR158)))</f>
        <v>0</v>
      </c>
      <c r="BA158" s="361">
        <f>IF(ISERROR(V47*'Donnees d''entrée'!$C$674*(AR158/(AN158+AP158+AR158))),0,V47*'Donnees d''entrée'!$C$674*(AR158/(AN158+AP158+AR158)))</f>
        <v>0</v>
      </c>
      <c r="BB158" s="361">
        <f>AM158*'Donnees d''entrée'!$C$513</f>
        <v>0</v>
      </c>
      <c r="BC158" s="361">
        <f>AO158*'Donnees d''entrée'!$C$513</f>
        <v>0</v>
      </c>
      <c r="BD158" s="361">
        <f>AQ158*'Donnees d''entrée'!$C$514</f>
        <v>0</v>
      </c>
      <c r="BE158" s="361">
        <f>AM158*'Donnees d''entrée'!$C$515</f>
        <v>0</v>
      </c>
      <c r="BF158" s="361">
        <f>AO158*'Donnees d''entrée'!$C$515</f>
        <v>0</v>
      </c>
      <c r="BG158" s="296">
        <f t="shared" ref="BG158:BG176" si="304">AM158-AS158-AV158-AY158-BB158-BE158</f>
        <v>0</v>
      </c>
      <c r="BH158" s="296">
        <f>AO158-AT158-AW158-AZ158-BC158-BF158</f>
        <v>0</v>
      </c>
      <c r="BI158" s="296">
        <f t="shared" ref="BI158:BI176" si="305">AQ158-AU158-AX158-BA158-BD158</f>
        <v>0</v>
      </c>
      <c r="BJ158" s="358">
        <f t="shared" si="276"/>
        <v>0</v>
      </c>
      <c r="BK158" s="296">
        <f t="shared" ref="BK158:BK176" si="306">BG158*$BJ158</f>
        <v>0</v>
      </c>
      <c r="BL158" s="296">
        <f t="shared" si="277"/>
        <v>0</v>
      </c>
      <c r="BM158" s="296">
        <f t="shared" si="277"/>
        <v>0</v>
      </c>
      <c r="BN158" s="296">
        <f t="shared" ref="BN158:BN176" si="307">AN158-AS158-AV158-AY158-BB158-BE158</f>
        <v>0</v>
      </c>
      <c r="BO158" s="296">
        <f t="shared" ref="BO158:BO176" si="308">AP158-AT158-AW158-AZ158-BC158-BF158</f>
        <v>0</v>
      </c>
      <c r="BP158" s="296">
        <f t="shared" ref="BP158:BP176"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si="343">SUM(O158:Q158,AV158:AX158,CC158:CE158,DJ158:DL158,EQ158:ES158)</f>
        <v>0</v>
      </c>
      <c r="FO158" s="370">
        <f t="shared" ref="FO158:FO176" si="344">SUM(R158:T158,AY158:BA158,CF158:CH158,DM158:DO158,ET158:EV158)</f>
        <v>0</v>
      </c>
      <c r="FP158" s="370">
        <f t="shared" ref="FP158:FP176" si="345">SUM(U158:W158,BB158:BD158,CI158:CK158,DP158:DR158,EW158:EY158)</f>
        <v>0</v>
      </c>
      <c r="FQ158" s="370">
        <f>SUM(X158:Y158,BE158:BF158,CL158:CM158,DS158:DT158,EZ158:FA158)</f>
        <v>0</v>
      </c>
      <c r="FR158"/>
      <c r="FS158" s="370">
        <f t="shared" ref="FS158:FS176" si="346">G158+I158+K158+AN158+AP158+AR158+BU158+BW158+BY158+DB158+DD158+DF158+EK158+EM158+EI158</f>
        <v>0</v>
      </c>
      <c r="FT158" s="370">
        <f t="shared" ref="FT158:FT176" si="347">SUM(L158:N158,AS158:AU158,BZ158:CB158,DG158:DI158,EN158:EP158)</f>
        <v>0</v>
      </c>
      <c r="FU158" s="370">
        <f t="shared" ref="FU158:FU176" si="348">SUM(AG158:AI158,BN158:BP158,CU158:CW158,EB158:ED158,FI158:FK158)</f>
        <v>0</v>
      </c>
      <c r="FV158"/>
      <c r="FW158" s="371">
        <f t="shared" ref="FW158:FW176"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
      </c>
      <c r="C159" s="280" t="str">
        <f t="shared" si="288"/>
        <v/>
      </c>
      <c r="D159" s="280" t="str">
        <f>IF(ISERROR(IF(AQ103&lt;&gt;"",AQ103,VLOOKUP(IF(AJ103&lt;&gt;"",AJ103,IF(AL103&lt;&gt;"",AL103,IF(AN103&lt;&gt;"",AN103))),Exploitation!$B$123:$D$127,1,FALSE))),"",IF(AQ103&lt;&gt;"",AQ103,VLOOKUP(IF(AJ103&lt;&gt;"",AJ103,IF(AL103&lt;&gt;"",AL103,IF(AN103&lt;&gt;"",AN103))),Exploitation!$B$123:$D$127,1,FALSE)))</f>
        <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si="290"/>
        <v>0</v>
      </c>
      <c r="I159" s="361">
        <f t="shared" si="290"/>
        <v>0</v>
      </c>
      <c r="J159" s="361">
        <f t="shared" si="291"/>
        <v>0</v>
      </c>
      <c r="K159" s="361">
        <f t="shared" si="292"/>
        <v>0</v>
      </c>
      <c r="L159" s="361">
        <f t="shared" si="293"/>
        <v>0</v>
      </c>
      <c r="M159" s="361">
        <f t="shared" si="272"/>
        <v>0</v>
      </c>
      <c r="N159" s="361">
        <f t="shared" si="272"/>
        <v>0</v>
      </c>
      <c r="O159" s="361">
        <f>F159*'Donnees d''entrée'!$C$511</f>
        <v>0</v>
      </c>
      <c r="P159" s="296">
        <f>H159*'Donnees d''entrée'!$C$511</f>
        <v>0</v>
      </c>
      <c r="Q159" s="296">
        <f>J159*'Donnees d''entrée'!$C$512</f>
        <v>0</v>
      </c>
      <c r="R159" s="296">
        <f>IF(ISERROR(J48*'Donnees d''entrée'!$C$674*(G159/(G159+I159+K159))),0,J48*'Donnees d''entrée'!$C$674*(G159/(G159+I159+K159)))</f>
        <v>0</v>
      </c>
      <c r="S159" s="361">
        <f>IF(ISERROR(J48*'Donnees d''entrée'!$C$674*(I159/(G159+I159+K159))),0,J48*'Donnees d''entrée'!$C$674*(I159/(G159+I159+K159)))</f>
        <v>0</v>
      </c>
      <c r="T159" s="361">
        <f>IF(ISERROR(J48*'Donnees d''entrée'!$C$674*(K159/(G159+I159+K159))),0,J48*'Donnees d''entrée'!$C$674*(K159/(G159+I159+K159)))</f>
        <v>0</v>
      </c>
      <c r="U159" s="361">
        <f>F159*'Donnees d''entrée'!$C$513</f>
        <v>0</v>
      </c>
      <c r="V159" s="361">
        <f>H159*'Donnees d''entrée'!$C$513</f>
        <v>0</v>
      </c>
      <c r="W159" s="361">
        <f>J159*'Donnees d''entrée'!$C$514</f>
        <v>0</v>
      </c>
      <c r="X159" s="361">
        <f>F159*'Donnees d''entrée'!$C$515</f>
        <v>0</v>
      </c>
      <c r="Y159" s="361">
        <f>H159*'Donnees d''entrée'!$C$515</f>
        <v>0</v>
      </c>
      <c r="Z159" s="296">
        <f t="shared" si="294"/>
        <v>0</v>
      </c>
      <c r="AA159" s="296">
        <f t="shared" ref="AA159:AA176" si="350">H159-M159-P159-S159-V159-Y159</f>
        <v>0</v>
      </c>
      <c r="AB159" s="296">
        <f t="shared" si="295"/>
        <v>0</v>
      </c>
      <c r="AC159" s="358">
        <f t="shared" si="273"/>
        <v>0</v>
      </c>
      <c r="AD159" s="296">
        <f t="shared" si="296"/>
        <v>0</v>
      </c>
      <c r="AE159" s="296">
        <f t="shared" si="274"/>
        <v>0</v>
      </c>
      <c r="AF159" s="296">
        <f t="shared" si="274"/>
        <v>0</v>
      </c>
      <c r="AG159" s="296">
        <f t="shared" si="297"/>
        <v>0</v>
      </c>
      <c r="AH159" s="296">
        <f t="shared" si="298"/>
        <v>0</v>
      </c>
      <c r="AI159" s="296">
        <f t="shared" si="299"/>
        <v>0</v>
      </c>
      <c r="AJ159" s="280" t="str">
        <f t="shared" si="300"/>
        <v/>
      </c>
      <c r="AK159" s="280" t="str">
        <f>IF(ISERROR(IF(CP103&lt;&gt;"",CP103,VLOOKUP(IF(CI103&lt;&gt;"",CI103,IF(CK103&lt;&gt;"",CK103,IF(CM103&lt;&gt;"",CM103))),Exploitation!$B$123:$D$127,1,FALSE))),"",IF(CP103&lt;&gt;"",CP103,VLOOKUP(IF(CI103&lt;&gt;"",CI103,IF(CK103&lt;&gt;"",CK103,IF(CM103&lt;&gt;"",CM103))),Exploitation!$B$123:$D$127,1,FALSE)))</f>
        <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si="275"/>
        <v>0</v>
      </c>
      <c r="AP159" s="361">
        <f t="shared" si="275"/>
        <v>0</v>
      </c>
      <c r="AQ159" s="361">
        <f t="shared" si="302"/>
        <v>0</v>
      </c>
      <c r="AR159" s="361">
        <f t="shared" si="275"/>
        <v>0</v>
      </c>
      <c r="AS159" s="361">
        <f t="shared" si="303"/>
        <v>0</v>
      </c>
      <c r="AT159" s="361">
        <f t="shared" si="303"/>
        <v>0</v>
      </c>
      <c r="AU159" s="361">
        <f t="shared" si="303"/>
        <v>0</v>
      </c>
      <c r="AV159" s="361">
        <f>AM159*'Donnees d''entrée'!$C$511</f>
        <v>0</v>
      </c>
      <c r="AW159" s="296">
        <f>AO159*'Donnees d''entrée'!$C$511</f>
        <v>0</v>
      </c>
      <c r="AX159" s="296">
        <f>AQ159*'Donnees d''entrée'!$C$512</f>
        <v>0</v>
      </c>
      <c r="AY159" s="296">
        <f>IF(ISERROR(V48*'Donnees d''entrée'!$C$674*(AN159/(AN159+AP159+AR159))),0,V48*'Donnees d''entrée'!$C$674*(AN159/(AN159+AP159+AR159)))</f>
        <v>0</v>
      </c>
      <c r="AZ159" s="361">
        <f>IF(ISERROR(V48*'Donnees d''entrée'!$C$674*(AP159/(AN159+AP159+AR159))),0,V48*'Donnees d''entrée'!$C$674*(AP159/(AN159+AP159+AR159)))</f>
        <v>0</v>
      </c>
      <c r="BA159" s="361">
        <f>IF(ISERROR(V48*'Donnees d''entrée'!$C$674*(AR159/(AN159+AP159+AR159))),0,V48*'Donnees d''entrée'!$C$674*(AR159/(AN159+AP159+AR159)))</f>
        <v>0</v>
      </c>
      <c r="BB159" s="361">
        <f>AM159*'Donnees d''entrée'!$C$513</f>
        <v>0</v>
      </c>
      <c r="BC159" s="361">
        <f>AO159*'Donnees d''entrée'!$C$513</f>
        <v>0</v>
      </c>
      <c r="BD159" s="361">
        <f>AQ159*'Donnees d''entrée'!$C$514</f>
        <v>0</v>
      </c>
      <c r="BE159" s="361">
        <f>AM159*'Donnees d''entrée'!$C$515</f>
        <v>0</v>
      </c>
      <c r="BF159" s="361">
        <f>AO159*'Donnees d''entrée'!$C$515</f>
        <v>0</v>
      </c>
      <c r="BG159" s="296">
        <f t="shared" si="304"/>
        <v>0</v>
      </c>
      <c r="BH159" s="296">
        <f t="shared" ref="BH159:BH176" si="351">AO159-AT159-AW159-AZ159-BC159-BF159</f>
        <v>0</v>
      </c>
      <c r="BI159" s="296">
        <f t="shared" si="305"/>
        <v>0</v>
      </c>
      <c r="BJ159" s="358">
        <f t="shared" si="276"/>
        <v>0</v>
      </c>
      <c r="BK159" s="296">
        <f t="shared" si="306"/>
        <v>0</v>
      </c>
      <c r="BL159" s="296">
        <f t="shared" si="277"/>
        <v>0</v>
      </c>
      <c r="BM159" s="296">
        <f t="shared" si="277"/>
        <v>0</v>
      </c>
      <c r="BN159" s="296">
        <f t="shared" si="307"/>
        <v>0</v>
      </c>
      <c r="BO159" s="296">
        <f t="shared" si="308"/>
        <v>0</v>
      </c>
      <c r="BP159" s="296">
        <f t="shared"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si="343"/>
        <v>0</v>
      </c>
      <c r="FO159" s="370">
        <f t="shared" si="344"/>
        <v>0</v>
      </c>
      <c r="FP159" s="370">
        <f t="shared" si="345"/>
        <v>0</v>
      </c>
      <c r="FQ159" s="370">
        <f t="shared" ref="FQ159:FQ176" si="355">SUM(X159:Y159,BE159:BF159,CL159:CM159,DS159:DT159,EZ159:FA159)</f>
        <v>0</v>
      </c>
      <c r="FR159"/>
      <c r="FS159" s="370">
        <f t="shared" si="346"/>
        <v>0</v>
      </c>
      <c r="FT159" s="370">
        <f t="shared" si="347"/>
        <v>0</v>
      </c>
      <c r="FU159" s="370">
        <f t="shared" si="348"/>
        <v>0</v>
      </c>
      <c r="FV159"/>
      <c r="FW159" s="371">
        <f t="shared"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CHAMP</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1</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3630.3092087724008</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1021.6231536273841</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408.64926145095365</v>
      </c>
      <c r="R183" s="296">
        <f t="shared" si="396"/>
        <v>0</v>
      </c>
      <c r="S183" s="296">
        <f ca="1">SUM(P183:R183)</f>
        <v>408.64926145095365</v>
      </c>
    </row>
    <row r="184" spans="1:280" hidden="1" x14ac:dyDescent="0.25">
      <c r="A184" s="279">
        <v>2</v>
      </c>
      <c r="B184" s="283" t="str">
        <f>IF(Exploitation!B134="","",Exploitation!B134)</f>
        <v/>
      </c>
      <c r="C184" s="283" t="str">
        <f>IF(Exploitation!C134="","",Exploitation!C134)</f>
        <v/>
      </c>
      <c r="D184" s="283" t="str">
        <f>IF(Exploitation!D134="","",Exploitation!D134)</f>
        <v/>
      </c>
      <c r="E184" s="283" t="str">
        <f>IF(Exploitation!E134="","",Exploitation!E134)</f>
        <v/>
      </c>
      <c r="F184" s="283">
        <f t="shared" ref="F184:F192" si="397">IF(ISERROR(SEARCH("epandu",E184)),0,1)</f>
        <v>0</v>
      </c>
      <c r="G184" s="283" t="str">
        <f>IF(Exploitation!F134="","",Exploitation!F134)</f>
        <v/>
      </c>
      <c r="H184" s="316">
        <f>IF(Exploitation!G134="",0,Exploitation!G134)</f>
        <v>0</v>
      </c>
      <c r="I184" s="363">
        <f t="shared" ca="1" si="390"/>
        <v>0</v>
      </c>
      <c r="J184" s="363">
        <f t="shared" si="391"/>
        <v>0</v>
      </c>
      <c r="K184" s="363">
        <f t="shared" ca="1" si="392"/>
        <v>0</v>
      </c>
      <c r="L184" s="363">
        <f t="shared" ca="1" si="393"/>
        <v>0</v>
      </c>
      <c r="M184" s="363">
        <f t="shared" si="394"/>
        <v>0</v>
      </c>
      <c r="N184" s="363">
        <f t="shared" ca="1" si="395"/>
        <v>0</v>
      </c>
      <c r="O184" s="294" t="str">
        <f t="shared" ref="O184:O192" si="398">IF(ISERROR(VLOOKUP(G184,FA_epandage,2,FALSE)),"",VLOOKUP(G184,FA_epandage,2,FALSE))</f>
        <v/>
      </c>
      <c r="P184" s="296">
        <f t="shared" ref="P184:P192" ca="1" si="399">IF(ISERROR(L184*$O184),0,L184*$O184)</f>
        <v>0</v>
      </c>
      <c r="Q184" s="296">
        <f t="shared" si="396"/>
        <v>0</v>
      </c>
      <c r="R184" s="296">
        <f t="shared" ca="1" si="396"/>
        <v>0</v>
      </c>
      <c r="S184" s="296">
        <f ca="1">SUM(P184:R184)</f>
        <v>0</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2" t="s">
        <v>637</v>
      </c>
      <c r="C195" s="573"/>
      <c r="D195" s="574"/>
      <c r="E195" s="308">
        <f ca="1">SUMIF($E$183:$E$192,H195,$S$183:$S$192)</f>
        <v>408.64926145095365</v>
      </c>
      <c r="F195" s="309" t="s">
        <v>106</v>
      </c>
      <c r="H195" s="572" t="str">
        <f>'Donnees d''entrée'!B284</f>
        <v>Epandu sur terres en propre</v>
      </c>
      <c r="I195" s="573"/>
      <c r="J195" s="574"/>
      <c r="K195" s="154" t="s">
        <v>484</v>
      </c>
    </row>
    <row r="196" spans="1:23" ht="26.25" hidden="1" x14ac:dyDescent="0.4">
      <c r="B196" s="572" t="s">
        <v>638</v>
      </c>
      <c r="C196" s="573"/>
      <c r="D196" s="574"/>
      <c r="E196" s="308">
        <f>SUMIF($E$183:$E$192,H196,$S$183:$S$192)</f>
        <v>0</v>
      </c>
      <c r="F196" s="309" t="s">
        <v>106</v>
      </c>
      <c r="H196" s="572" t="str">
        <f>'Donnees d''entrée'!B285</f>
        <v>Epandu sur autres terres</v>
      </c>
      <c r="I196" s="573"/>
      <c r="J196" s="574"/>
      <c r="K196" s="154" t="s">
        <v>484</v>
      </c>
    </row>
    <row r="197" spans="1:23" ht="27.75" hidden="1" customHeight="1" x14ac:dyDescent="0.4">
      <c r="B197" s="572" t="s">
        <v>639</v>
      </c>
      <c r="C197" s="573"/>
      <c r="D197" s="574"/>
      <c r="E197" s="308">
        <f>SUMIF($E$183:$E$192,H197,$S$183:$S$192)</f>
        <v>0</v>
      </c>
      <c r="F197" s="309" t="s">
        <v>106</v>
      </c>
      <c r="H197" s="572" t="str">
        <f>'Donnees d''entrée'!B286</f>
        <v>Effluent normalisé exporté</v>
      </c>
      <c r="I197" s="573"/>
      <c r="J197" s="574"/>
      <c r="K197" s="154" t="s">
        <v>484</v>
      </c>
    </row>
    <row r="198" spans="1:23" ht="26.25" hidden="1" x14ac:dyDescent="0.4">
      <c r="B198" s="572" t="s">
        <v>318</v>
      </c>
      <c r="C198" s="573"/>
      <c r="D198" s="574"/>
      <c r="E198" s="308">
        <f ca="1">SUM($E$195,$E$196)</f>
        <v>408.64926145095365</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60" t="s">
        <v>196</v>
      </c>
      <c r="D203" s="560"/>
      <c r="E203" s="560"/>
      <c r="F203" s="560"/>
      <c r="G203" s="560" t="s">
        <v>197</v>
      </c>
      <c r="H203" s="560"/>
      <c r="I203" s="560"/>
      <c r="J203" s="560"/>
      <c r="K203" s="560" t="s">
        <v>236</v>
      </c>
      <c r="L203" s="560"/>
      <c r="M203" s="560"/>
      <c r="N203" s="560"/>
      <c r="O203" s="560" t="s">
        <v>454</v>
      </c>
      <c r="P203" s="560"/>
      <c r="Q203" s="560"/>
      <c r="R203" s="560"/>
      <c r="S203" s="560" t="s">
        <v>455</v>
      </c>
      <c r="T203" s="560"/>
      <c r="U203" s="560"/>
      <c r="V203" s="560"/>
      <c r="W203" s="57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71"/>
    </row>
    <row r="205" spans="1:23" hidden="1" x14ac:dyDescent="0.25">
      <c r="A205" s="279">
        <v>1</v>
      </c>
      <c r="B205" s="280" t="str">
        <f>B157</f>
        <v>P1</v>
      </c>
      <c r="C205" s="317" t="str">
        <f>E46</f>
        <v>Poulets_de_chair</v>
      </c>
      <c r="D205" s="293">
        <f>K46</f>
        <v>0</v>
      </c>
      <c r="E205" s="294">
        <f t="shared" ref="E205:E224" si="401">IF(ISERROR(VLOOKUP($C205,FE_NH3,5,FALSE)),"",VLOOKUP($C205,FE_NH3,5,FALSE))</f>
        <v>1.2500000000000001E-2</v>
      </c>
      <c r="F205" s="293">
        <f>IF(ISERROR(D205*E205),"",D205*E205)</f>
        <v>0</v>
      </c>
      <c r="G205" s="317" t="str">
        <f>Q46</f>
        <v/>
      </c>
      <c r="H205" s="293" t="str">
        <f>W46</f>
        <v/>
      </c>
      <c r="I205" s="294" t="str">
        <f t="shared" ref="I205:I224" si="402">IF(ISERROR(VLOOKUP($G205,FE_NH3,5,FALSE)),"",VLOOKUP($G205,FE_NH3,5,FALSE))</f>
        <v/>
      </c>
      <c r="J205" s="293" t="str">
        <f>IF(ISERROR(H205*I205),"",H205*I205)</f>
        <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
      </c>
      <c r="C206" s="317" t="str">
        <f t="shared" ref="C206:C219" si="407">E47</f>
        <v/>
      </c>
      <c r="D206" s="293" t="str">
        <f t="shared" ref="D206:D219" si="408">K47</f>
        <v/>
      </c>
      <c r="E206" s="294" t="str">
        <f t="shared" si="401"/>
        <v/>
      </c>
      <c r="F206" s="293" t="str">
        <f t="shared" ref="F206:F219" si="409">IF(ISERROR(D206*E206),"",D206*E206)</f>
        <v/>
      </c>
      <c r="G206" s="317" t="str">
        <f t="shared" ref="G206:G219" si="410">Q47</f>
        <v/>
      </c>
      <c r="H206" s="293" t="str">
        <f t="shared" ref="H206:H219" si="411">W47</f>
        <v/>
      </c>
      <c r="I206" s="294" t="str">
        <f t="shared" si="402"/>
        <v/>
      </c>
      <c r="J206" s="293" t="str">
        <f t="shared" ref="J206:J219" si="412">IF(ISERROR(H206*I206),"",H206*I206)</f>
        <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
      </c>
      <c r="C207" s="317" t="str">
        <f t="shared" si="407"/>
        <v/>
      </c>
      <c r="D207" s="293" t="str">
        <f t="shared" si="408"/>
        <v/>
      </c>
      <c r="E207" s="294" t="str">
        <f t="shared" si="401"/>
        <v/>
      </c>
      <c r="F207" s="293" t="str">
        <f t="shared" si="409"/>
        <v/>
      </c>
      <c r="G207" s="317" t="str">
        <f t="shared" si="410"/>
        <v/>
      </c>
      <c r="H207" s="293" t="str">
        <f t="shared" si="411"/>
        <v/>
      </c>
      <c r="I207" s="294" t="str">
        <f t="shared" si="402"/>
        <v/>
      </c>
      <c r="J207" s="293" t="str">
        <f t="shared" si="412"/>
        <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2" t="s">
        <v>325</v>
      </c>
      <c r="C227" s="573"/>
      <c r="D227" s="574"/>
      <c r="E227" s="308">
        <f>SUM(W205:W224)</f>
        <v>0</v>
      </c>
      <c r="F227" s="309" t="s">
        <v>106</v>
      </c>
    </row>
    <row r="228" spans="1:53" hidden="1" x14ac:dyDescent="0.25"/>
    <row r="229" spans="1:53" hidden="1" x14ac:dyDescent="0.25"/>
    <row r="230" spans="1:53" ht="26.25" hidden="1" x14ac:dyDescent="0.4">
      <c r="B230" s="572" t="s">
        <v>430</v>
      </c>
      <c r="C230" s="573"/>
      <c r="D230" s="574"/>
      <c r="E230" s="308">
        <f ca="1">$E$94+$E$150+$E$198+$E$227</f>
        <v>2041.2472077287136</v>
      </c>
      <c r="F230" s="309" t="s">
        <v>106</v>
      </c>
      <c r="J230" s="318" t="s">
        <v>319</v>
      </c>
      <c r="K230" s="308">
        <f ca="1">E230*17/14</f>
        <v>2478.6573236705808</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60" t="s">
        <v>196</v>
      </c>
      <c r="E239" s="560"/>
      <c r="F239" s="560"/>
      <c r="G239" s="560"/>
      <c r="H239" s="560"/>
      <c r="I239" s="560"/>
      <c r="J239" s="560"/>
      <c r="K239" s="560"/>
      <c r="L239" s="560"/>
      <c r="M239" s="560"/>
      <c r="N239" s="560" t="s">
        <v>197</v>
      </c>
      <c r="O239" s="560"/>
      <c r="P239" s="560"/>
      <c r="Q239" s="560"/>
      <c r="R239" s="560"/>
      <c r="S239" s="560"/>
      <c r="T239" s="560"/>
      <c r="U239" s="560"/>
      <c r="V239" s="560"/>
      <c r="W239" s="560"/>
      <c r="X239" s="560" t="s">
        <v>236</v>
      </c>
      <c r="Y239" s="560"/>
      <c r="Z239" s="560"/>
      <c r="AA239" s="560"/>
      <c r="AB239" s="560"/>
      <c r="AC239" s="560"/>
      <c r="AD239" s="560"/>
      <c r="AE239" s="560"/>
      <c r="AF239" s="560"/>
      <c r="AG239" s="560"/>
      <c r="AH239" s="560" t="s">
        <v>454</v>
      </c>
      <c r="AI239" s="560"/>
      <c r="AJ239" s="560"/>
      <c r="AK239" s="560"/>
      <c r="AL239" s="560"/>
      <c r="AM239" s="560"/>
      <c r="AN239" s="560"/>
      <c r="AO239" s="560"/>
      <c r="AP239" s="560"/>
      <c r="AQ239" s="560"/>
      <c r="AR239" s="560" t="s">
        <v>455</v>
      </c>
      <c r="AS239" s="560"/>
      <c r="AT239" s="560"/>
      <c r="AU239" s="560"/>
      <c r="AV239" s="560"/>
      <c r="AW239" s="560"/>
      <c r="AX239" s="560"/>
      <c r="AY239" s="560"/>
      <c r="AZ239" s="560"/>
      <c r="BA239" s="560"/>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v>
      </c>
      <c r="C241" s="281" t="str">
        <f>C46</f>
        <v>Terre battue + litière</v>
      </c>
      <c r="D241" s="281" t="str">
        <f>D46</f>
        <v>Poulets_de_chair</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
      </c>
      <c r="O241" s="281" t="str">
        <f>S46</f>
        <v/>
      </c>
      <c r="P241" s="320" t="str">
        <f t="shared" ref="P241:P260" ca="1" si="435">U72</f>
        <v/>
      </c>
      <c r="Q241" s="320" t="str">
        <f t="shared" ref="Q241:Q260" ca="1" si="436">V72</f>
        <v/>
      </c>
      <c r="R241" s="321" t="str">
        <f t="shared" ref="R241:R260" ca="1" si="437">X72</f>
        <v/>
      </c>
      <c r="S241" s="321" t="str">
        <f>IF(ISERROR(T46/100),"",T46/100)</f>
        <v/>
      </c>
      <c r="T241" s="320" t="str">
        <f ca="1">IF(ISERROR(P241*$S241),"",P241*$S241)</f>
        <v/>
      </c>
      <c r="U241" s="320" t="str">
        <f ca="1">IF(ISERROR(Q241*$S241),"",Q241*$S241)</f>
        <v/>
      </c>
      <c r="V241" s="320" t="str">
        <f ca="1">IF(ISERROR(R241*$S241),"",R241*$S241)</f>
        <v/>
      </c>
      <c r="W241" s="321" t="str">
        <f>IF(ISERROR(1-S241),"",1-S241)</f>
        <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
      </c>
      <c r="C242" s="281" t="str">
        <f t="shared" ref="C242" si="447">C47</f>
        <v/>
      </c>
      <c r="D242" s="281" t="str">
        <f t="shared" ref="D242:D260" si="448">E47</f>
        <v/>
      </c>
      <c r="E242" s="281" t="str">
        <f t="shared" ref="E242:E255" si="449">G47</f>
        <v/>
      </c>
      <c r="F242" s="320" t="str">
        <f t="shared" ca="1" si="432"/>
        <v/>
      </c>
      <c r="G242" s="320" t="str">
        <f t="shared" ca="1" si="433"/>
        <v/>
      </c>
      <c r="H242" s="320" t="str">
        <f t="shared" ca="1" si="434"/>
        <v/>
      </c>
      <c r="I242" s="320" t="str">
        <f t="shared" ref="I242:I255" si="450">IF(ISERROR(H47/100),"",H47/100)</f>
        <v/>
      </c>
      <c r="J242" s="320" t="str">
        <f t="shared" ref="J242:J255" ca="1" si="451">IF(ISERROR(F242*$I242),"",F242*$I242)</f>
        <v/>
      </c>
      <c r="K242" s="320" t="str">
        <f t="shared" ref="K242:K255" ca="1" si="452">IF(ISERROR(G242*$I242),"",G242*$I242)</f>
        <v/>
      </c>
      <c r="L242" s="320" t="str">
        <f t="shared" ref="L242:L255" ca="1" si="453">IF(ISERROR(H242*$I242),"",H242*$I242)</f>
        <v/>
      </c>
      <c r="M242" s="320" t="str">
        <f t="shared" ref="M242:M255" si="454">IF(ISERROR(1-I242),"",1-I242)</f>
        <v/>
      </c>
      <c r="N242" s="281" t="str">
        <f t="shared" ref="N242:N260" si="455">Q47</f>
        <v/>
      </c>
      <c r="O242" s="281" t="str">
        <f t="shared" ref="O242:O255" si="456">S47</f>
        <v/>
      </c>
      <c r="P242" s="320" t="str">
        <f t="shared" ca="1" si="435"/>
        <v/>
      </c>
      <c r="Q242" s="320" t="str">
        <f t="shared" ca="1" si="436"/>
        <v/>
      </c>
      <c r="R242" s="321" t="str">
        <f t="shared" ca="1" si="437"/>
        <v/>
      </c>
      <c r="S242" s="321" t="str">
        <f t="shared" ref="S242:S255" si="457">IF(ISERROR(T47/100),"",T47/100)</f>
        <v/>
      </c>
      <c r="T242" s="320" t="str">
        <f t="shared" ref="T242:T255" ca="1" si="458">IF(ISERROR(P242*$S242),"",P242*$S242)</f>
        <v/>
      </c>
      <c r="U242" s="320" t="str">
        <f t="shared" ref="U242:U255" ca="1" si="459">IF(ISERROR(Q242*$S242),"",Q242*$S242)</f>
        <v/>
      </c>
      <c r="V242" s="320" t="str">
        <f t="shared" ref="V242:V255" ca="1" si="460">IF(ISERROR(R242*$S242),"",R242*$S242)</f>
        <v/>
      </c>
      <c r="W242" s="321" t="str">
        <f t="shared" ref="W242:W255" si="461">IF(ISERROR(1-S242),"",1-S242)</f>
        <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
      </c>
      <c r="C243" s="281" t="str">
        <f t="shared" ref="C243" si="482">C48</f>
        <v/>
      </c>
      <c r="D243" s="281" t="str">
        <f t="shared" si="448"/>
        <v/>
      </c>
      <c r="E243" s="281" t="str">
        <f t="shared" si="449"/>
        <v/>
      </c>
      <c r="F243" s="320" t="str">
        <f t="shared" ca="1" si="432"/>
        <v/>
      </c>
      <c r="G243" s="320" t="str">
        <f t="shared" ca="1" si="433"/>
        <v/>
      </c>
      <c r="H243" s="320" t="str">
        <f t="shared" ca="1" si="434"/>
        <v/>
      </c>
      <c r="I243" s="320" t="str">
        <f t="shared" si="450"/>
        <v/>
      </c>
      <c r="J243" s="320" t="str">
        <f t="shared" ca="1" si="451"/>
        <v/>
      </c>
      <c r="K243" s="320" t="str">
        <f t="shared" ca="1" si="452"/>
        <v/>
      </c>
      <c r="L243" s="320" t="str">
        <f t="shared" ca="1" si="453"/>
        <v/>
      </c>
      <c r="M243" s="320" t="str">
        <f t="shared" si="454"/>
        <v/>
      </c>
      <c r="N243" s="281" t="str">
        <f t="shared" si="455"/>
        <v/>
      </c>
      <c r="O243" s="281" t="str">
        <f t="shared" si="456"/>
        <v/>
      </c>
      <c r="P243" s="320" t="str">
        <f t="shared" ca="1" si="435"/>
        <v/>
      </c>
      <c r="Q243" s="320" t="str">
        <f t="shared" ca="1" si="436"/>
        <v/>
      </c>
      <c r="R243" s="321" t="str">
        <f t="shared" ca="1" si="437"/>
        <v/>
      </c>
      <c r="S243" s="321" t="str">
        <f t="shared" si="457"/>
        <v/>
      </c>
      <c r="T243" s="320" t="str">
        <f t="shared" ca="1" si="458"/>
        <v/>
      </c>
      <c r="U243" s="320" t="str">
        <f t="shared" ca="1" si="459"/>
        <v/>
      </c>
      <c r="V243" s="320" t="str">
        <f t="shared" ca="1" si="460"/>
        <v/>
      </c>
      <c r="W243" s="321" t="str">
        <f t="shared" si="461"/>
        <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7" t="s">
        <v>308</v>
      </c>
      <c r="C266" s="577" t="s">
        <v>196</v>
      </c>
      <c r="D266" s="578"/>
      <c r="E266" s="578"/>
      <c r="F266" s="578"/>
      <c r="G266" s="578"/>
      <c r="H266" s="578"/>
      <c r="I266" s="578"/>
      <c r="J266" s="578"/>
      <c r="K266" s="578"/>
      <c r="L266" s="579"/>
      <c r="M266" s="584" t="s">
        <v>197</v>
      </c>
      <c r="N266" s="584"/>
      <c r="O266" s="584"/>
      <c r="P266" s="584"/>
      <c r="Q266" s="584"/>
      <c r="R266" s="584"/>
      <c r="S266" s="584"/>
      <c r="T266" s="584"/>
      <c r="U266" s="584"/>
      <c r="V266" s="584"/>
      <c r="W266" s="584" t="s">
        <v>236</v>
      </c>
      <c r="X266" s="584"/>
      <c r="Y266" s="584"/>
      <c r="Z266" s="584"/>
      <c r="AA266" s="584"/>
      <c r="AB266" s="584"/>
      <c r="AC266" s="584"/>
      <c r="AD266" s="584"/>
      <c r="AE266" s="584"/>
      <c r="AF266" s="584"/>
      <c r="AG266" s="584" t="s">
        <v>454</v>
      </c>
      <c r="AH266" s="584"/>
      <c r="AI266" s="584"/>
      <c r="AJ266" s="584"/>
      <c r="AK266" s="584"/>
      <c r="AL266" s="584"/>
      <c r="AM266" s="584"/>
      <c r="AN266" s="584"/>
      <c r="AO266" s="584"/>
      <c r="AP266" s="584"/>
      <c r="AQ266" s="584" t="s">
        <v>455</v>
      </c>
      <c r="AR266" s="584"/>
      <c r="AS266" s="584"/>
      <c r="AT266" s="584"/>
      <c r="AU266" s="584"/>
      <c r="AV266" s="584"/>
      <c r="AW266" s="584"/>
      <c r="AX266" s="584"/>
      <c r="AY266" s="584"/>
      <c r="AZ266" s="584"/>
      <c r="BA266" s="560" t="s">
        <v>107</v>
      </c>
      <c r="BB266" s="560"/>
      <c r="BC266" s="560"/>
      <c r="BD266" s="560"/>
    </row>
    <row r="267" spans="1:56" ht="30" hidden="1" x14ac:dyDescent="0.25">
      <c r="B267" s="567"/>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v>
      </c>
      <c r="C268" s="281" t="str">
        <f t="shared" ref="C268:C287" si="519">D241</f>
        <v>Poulets_de_chair</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29830.391333399049</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CHAMP</v>
      </c>
      <c r="L268" s="351" t="str">
        <f>IF(Exploitation!E89="","",Exploitation!E89)</f>
        <v/>
      </c>
      <c r="M268" s="281" t="str">
        <f t="shared" ref="M268:M287" si="520">N241</f>
        <v/>
      </c>
      <c r="N268" s="294" t="str">
        <f t="shared" ref="N268" si="521">IF(ISERROR(VLOOKUP(M268,Bo_VS,2,FALSE)),"",VLOOKUP(M268,Bo_VS,2,FALSE))</f>
        <v/>
      </c>
      <c r="O268" s="294" t="str">
        <f t="shared" ref="O268" si="522">IF(ISERROR(VLOOKUP(M268,Bo_VS,3,FALSE)),"",VLOOKUP(M268,Bo_VS,3,FALSE))</f>
        <v/>
      </c>
      <c r="P268" s="296" t="str">
        <f ca="1">IF(ISERROR($N268*$O268*$S19*T241*'Donnees d''entrée'!$C$623*'Donnees d''entrée'!$C$624),"",$N268*$O268*$S19*T241*'Donnees d''entrée'!$C$623*'Donnees d''entrée'!$C$624)</f>
        <v/>
      </c>
      <c r="Q268" s="296" t="str">
        <f ca="1">IF(ISERROR($N268*$O268*$S19*U241*'Donnees d''entrée'!$C$623*'Donnees d''entrée'!$C$624),"",$N268*$O268*$S19*U241*'Donnees d''entrée'!$C$623*'Donnees d''entrée'!$C$624)</f>
        <v/>
      </c>
      <c r="R268" s="296" t="str">
        <f ca="1">IF(ISERROR($N268*$O268*$S19*V241*'Donnees d''entrée'!$C$623*'Donnees d''entrée'!$C$624),"",$N268*$O268*$S19*V241*'Donnees d''entrée'!$C$623*'Donnees d''entrée'!$C$624)</f>
        <v/>
      </c>
      <c r="S268" s="296" t="str">
        <f>IF(ISERROR($N268*$O268*$S19*W241*'Donnees d''entrée'!$C$623*'Donnees d''entrée'!$C$624),"",$N268*$O268*$S19*W241*'Donnees d''entrée'!$C$623*'Donnees d''entrée'!$C$624)</f>
        <v/>
      </c>
      <c r="T268" s="351" t="str">
        <f>IF(Exploitation!F89="","",Exploitation!F89)</f>
        <v/>
      </c>
      <c r="U268" s="351" t="str">
        <f>IF(Exploitation!G89="","",Exploitation!G89)</f>
        <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29830.391333399049</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
      </c>
      <c r="C269" s="281" t="str">
        <f t="shared" si="519"/>
        <v/>
      </c>
      <c r="D269" s="294" t="str">
        <f>IF(ISERROR(VLOOKUP(C269,Bo_VS,2,FALSE)),"",VLOOKUP(C269,Bo_VS,2,FALSE))</f>
        <v/>
      </c>
      <c r="E269" s="294" t="str">
        <f t="shared" ref="E269:E282" si="535">IF(ISERROR(VLOOKUP(C269,Bo_VS,3,FALSE)),"",VLOOKUP(C269,Bo_VS,3,FALSE))</f>
        <v/>
      </c>
      <c r="F269" s="296" t="str">
        <f ca="1">IF(ISERROR($D269*$E269*$K20*J242*'Donnees d''entrée'!$C$623*'Donnees d''entrée'!$C$624),"",$D269*$E269*$K20*J242*'Donnees d''entrée'!$C$623*'Donnees d''entrée'!$C$624)</f>
        <v/>
      </c>
      <c r="G269" s="296" t="str">
        <f ca="1">IF(ISERROR($D269*$E269*$K20*K242*'Donnees d''entrée'!$C$623*'Donnees d''entrée'!$C$624),"",$D269*$E269*$K20*K242*'Donnees d''entrée'!$C$623*'Donnees d''entrée'!$C$624)</f>
        <v/>
      </c>
      <c r="H269" s="296" t="str">
        <f ca="1">IF(ISERROR($D269*$E269*$K20*L242*'Donnees d''entrée'!$C$623*'Donnees d''entrée'!$C$624),"",$D269*$E269*$K20*L242*'Donnees d''entrée'!$C$623*'Donnees d''entrée'!$C$624)</f>
        <v/>
      </c>
      <c r="I269" s="296" t="str">
        <f>IF(ISERROR($D269*$E269*$K20*M242*'Donnees d''entrée'!$C$623*'Donnees d''entrée'!$C$624),"",$D269*$E269*$K20*M242*'Donnees d''entrée'!$C$623*'Donnees d''entrée'!$C$624)</f>
        <v/>
      </c>
      <c r="J269" s="351" t="str">
        <f>IF(Exploitation!C90="","",Exploitation!C90)</f>
        <v/>
      </c>
      <c r="K269" s="351" t="str">
        <f>IF(Exploitation!D90="","",Exploitation!D90)</f>
        <v/>
      </c>
      <c r="L269" s="351" t="str">
        <f>IF(Exploitation!E90="","",Exploitation!E90)</f>
        <v/>
      </c>
      <c r="M269" s="281" t="str">
        <f t="shared" si="520"/>
        <v/>
      </c>
      <c r="N269" s="294" t="str">
        <f t="shared" ref="N269:N282" si="536">IF(ISERROR(VLOOKUP(M269,Bo_VS,2,FALSE)),"",VLOOKUP(M269,Bo_VS,2,FALSE))</f>
        <v/>
      </c>
      <c r="O269" s="294" t="str">
        <f t="shared" ref="O269:O282" si="537">IF(ISERROR(VLOOKUP(M269,Bo_VS,3,FALSE)),"",VLOOKUP(M269,Bo_VS,3,FALSE))</f>
        <v/>
      </c>
      <c r="P269" s="296" t="str">
        <f ca="1">IF(ISERROR($N269*$O269*$S20*T242*'Donnees d''entrée'!$C$623*'Donnees d''entrée'!$C$624),"",$N269*$O269*$S20*T242*'Donnees d''entrée'!$C$623*'Donnees d''entrée'!$C$624)</f>
        <v/>
      </c>
      <c r="Q269" s="296" t="str">
        <f ca="1">IF(ISERROR($N269*$O269*$S20*U242*'Donnees d''entrée'!$C$623*'Donnees d''entrée'!$C$624),"",$N269*$O269*$S20*U242*'Donnees d''entrée'!$C$623*'Donnees d''entrée'!$C$624)</f>
        <v/>
      </c>
      <c r="R269" s="296" t="str">
        <f ca="1">IF(ISERROR($N269*$O269*$S20*V242*'Donnees d''entrée'!$C$623*'Donnees d''entrée'!$C$624),"",$N269*$O269*$S20*V242*'Donnees d''entrée'!$C$623*'Donnees d''entrée'!$C$624)</f>
        <v/>
      </c>
      <c r="S269" s="296" t="str">
        <f>IF(ISERROR($N269*$O269*$S20*W242*'Donnees d''entrée'!$C$623*'Donnees d''entrée'!$C$624),"",$N269*$O269*$S20*W242*'Donnees d''entrée'!$C$623*'Donnees d''entrée'!$C$624)</f>
        <v/>
      </c>
      <c r="T269" s="351" t="str">
        <f>IF(Exploitation!F90="","",Exploitation!F90)</f>
        <v/>
      </c>
      <c r="U269" s="351" t="str">
        <f>IF(Exploitation!G90="","",Exploitation!G90)</f>
        <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0</v>
      </c>
      <c r="BC269" s="296">
        <f t="shared" ca="1" si="532"/>
        <v>0</v>
      </c>
      <c r="BD269" s="296">
        <f t="shared" si="533"/>
        <v>0</v>
      </c>
    </row>
    <row r="270" spans="1:56" hidden="1" x14ac:dyDescent="0.25">
      <c r="A270" s="279">
        <v>3</v>
      </c>
      <c r="B270" s="280" t="str">
        <f t="shared" si="534"/>
        <v/>
      </c>
      <c r="C270" s="281" t="str">
        <f t="shared" si="519"/>
        <v/>
      </c>
      <c r="D270" s="294" t="str">
        <f t="shared" ref="D270:D282" si="542">IF(ISERROR(VLOOKUP(C270,Bo_VS,2,FALSE)),"",VLOOKUP(C270,Bo_VS,2,FALSE))</f>
        <v/>
      </c>
      <c r="E270" s="294" t="str">
        <f t="shared" si="535"/>
        <v/>
      </c>
      <c r="F270" s="296" t="str">
        <f ca="1">IF(ISERROR($D270*$E270*$K21*J243*'Donnees d''entrée'!$C$623*'Donnees d''entrée'!$C$624),"",$D270*$E270*$K21*J243*'Donnees d''entrée'!$C$623*'Donnees d''entrée'!$C$624)</f>
        <v/>
      </c>
      <c r="G270" s="296" t="str">
        <f ca="1">IF(ISERROR($D270*$E270*$K21*K243*'Donnees d''entrée'!$C$623*'Donnees d''entrée'!$C$624),"",$D270*$E270*$K21*K243*'Donnees d''entrée'!$C$623*'Donnees d''entrée'!$C$624)</f>
        <v/>
      </c>
      <c r="H270" s="296" t="str">
        <f ca="1">IF(ISERROR($D270*$E270*$K21*L243*'Donnees d''entrée'!$C$623*'Donnees d''entrée'!$C$624),"",$D270*$E270*$K21*L243*'Donnees d''entrée'!$C$623*'Donnees d''entrée'!$C$624)</f>
        <v/>
      </c>
      <c r="I270" s="296" t="str">
        <f>IF(ISERROR($D270*$E270*$K21*M243*'Donnees d''entrée'!$C$623*'Donnees d''entrée'!$C$624),"",$D270*$E270*$K21*M243*'Donnees d''entrée'!$C$623*'Donnees d''entrée'!$C$624)</f>
        <v/>
      </c>
      <c r="J270" s="351" t="str">
        <f>IF(Exploitation!C91="","",Exploitation!C91)</f>
        <v/>
      </c>
      <c r="K270" s="351" t="str">
        <f>IF(Exploitation!D91="","",Exploitation!D91)</f>
        <v/>
      </c>
      <c r="L270" s="351" t="str">
        <f>IF(Exploitation!E91="","",Exploitation!E91)</f>
        <v/>
      </c>
      <c r="M270" s="281" t="str">
        <f t="shared" si="520"/>
        <v/>
      </c>
      <c r="N270" s="294" t="str">
        <f t="shared" si="536"/>
        <v/>
      </c>
      <c r="O270" s="294" t="str">
        <f t="shared" si="537"/>
        <v/>
      </c>
      <c r="P270" s="296" t="str">
        <f ca="1">IF(ISERROR($N270*$O270*$S21*T243*'Donnees d''entrée'!$C$623*'Donnees d''entrée'!$C$624),"",$N270*$O270*$S21*T243*'Donnees d''entrée'!$C$623*'Donnees d''entrée'!$C$624)</f>
        <v/>
      </c>
      <c r="Q270" s="296" t="str">
        <f ca="1">IF(ISERROR($N270*$O270*$S21*U243*'Donnees d''entrée'!$C$623*'Donnees d''entrée'!$C$624),"",$N270*$O270*$S21*U243*'Donnees d''entrée'!$C$623*'Donnees d''entrée'!$C$624)</f>
        <v/>
      </c>
      <c r="R270" s="296" t="str">
        <f ca="1">IF(ISERROR($N270*$O270*$S21*V243*'Donnees d''entrée'!$C$623*'Donnees d''entrée'!$C$624),"",$N270*$O270*$S21*V243*'Donnees d''entrée'!$C$623*'Donnees d''entrée'!$C$624)</f>
        <v/>
      </c>
      <c r="S270" s="296" t="str">
        <f>IF(ISERROR($N270*$O270*$S21*W243*'Donnees d''entrée'!$C$623*'Donnees d''entrée'!$C$624),"",$N270*$O270*$S21*W243*'Donnees d''entrée'!$C$623*'Donnees d''entrée'!$C$624)</f>
        <v/>
      </c>
      <c r="T270" s="351" t="str">
        <f>IF(Exploitation!F91="","",Exploitation!F91)</f>
        <v/>
      </c>
      <c r="U270" s="351" t="str">
        <f>IF(Exploitation!G91="","",Exploitation!G91)</f>
        <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0</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60" t="s">
        <v>662</v>
      </c>
      <c r="G291" s="560"/>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non_renseigné</v>
      </c>
      <c r="C293" s="283" t="str">
        <f>IF(Exploitation!C115="","",Exploitation!C115)</f>
        <v/>
      </c>
      <c r="D293" s="283" t="str">
        <f>IF(Exploitation!D115="","",Exploitation!D115)</f>
        <v/>
      </c>
      <c r="E293" s="283" t="str">
        <f>IF(Exploitation!E115="","",Exploitation!E115)</f>
        <v/>
      </c>
      <c r="F293" s="283" t="str">
        <f>IF(Exploitation!F115="","",Exploitation!F115)</f>
        <v/>
      </c>
      <c r="G293" s="283" t="str">
        <f>IF(Exploitation!G115="","",Exploitation!G115)</f>
        <v/>
      </c>
      <c r="H293" s="330">
        <f>SUMIF($J$268:$J$287,B293,$F$268:$F$287)+SUMIF($T$268:$T$287,B293,$P$268:$P$287)+SUMIF($AD$268:$AD$287,B293,$Z$268:$Z$287)+SUMIF($AN$268:$AN$287,B293,$AJ$268:$AJ$287)+SUMIF($AX$268:$AX$287,B293,$AT$268:$AT$287)</f>
        <v>0</v>
      </c>
      <c r="I293" s="330">
        <f>SUMIF($K$268:$K$287,B293,$G$268:$G$287)+SUMIF($U$268:$U$287,B293,$Q$268:$Q$287)+SUMIF($AE$268:$AE$287,B293,$AA$268:$AA$287)+SUMIF($AO$268:$AO$287,B293,$AK$268:$AK$287)+SUMIF($AY$268:$AY$287,B293,$AU$268:$AU$287)</f>
        <v>0</v>
      </c>
      <c r="J293" s="330">
        <f>SUMIF($L$268:$L$287,B293,$H$268:$H$287)+SUMIF($V$268:$V$287,B293,$R$268:$R$287)+SUMIF($AF$268:$AF$287,B293,$AB$268:$AB$287)+SUMIF($AP$268:$AP$287,B293,$AL$268:$AL$287)+SUMIF($AZ$268:$AZ$287,B293,$AV$268:$AV$287)</f>
        <v>0</v>
      </c>
      <c r="K293" s="330">
        <f>IF(ISERROR(VLOOKUP(D293,indic_trait_CH4,2,FALSE)),0,VLOOKUP(D293,indic_trait_CH4,2,FALSE))</f>
        <v>0</v>
      </c>
      <c r="L293" s="365">
        <f>IF(K293="FA",0,IF(K293=0,0,HLOOKUP($C$12,MCF,K293,FALSE)))</f>
        <v>0</v>
      </c>
      <c r="M293" s="330">
        <f>SUM(H293:J293)*L293</f>
        <v>0</v>
      </c>
      <c r="N293" s="423">
        <f>IF(K293="FA",VLOOKUP(D293,FA_CH4_trait,2,FALSE),1)</f>
        <v>1</v>
      </c>
      <c r="O293" s="423" t="e">
        <f>IF(M293=0,SUM(H293:J293)*IF(D293='Donnees d''entrée'!$B$605,1,N293)*VLOOKUP(D293,'Donnees d''entrée'!$B$591:$D$599,2,FALSE),0)</f>
        <v>#N/A</v>
      </c>
      <c r="P293" s="423" t="e">
        <f>IF(M293=0,SUM(H293:J293)*N293*VLOOKUP(D293,'Donnees d''entrée'!$B$591:$D$599,3,FALSE),0)</f>
        <v>#N/A</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CHAMP</v>
      </c>
      <c r="C302" s="280" t="str">
        <f>IF(Exploitation!C123="","",Exploitation!C123)</f>
        <v>Solide</v>
      </c>
      <c r="D302" s="280" t="str">
        <f>IF(Exploitation!D123="","",Exploitation!D123)</f>
        <v>Fumier stocké au champ</v>
      </c>
      <c r="E302" s="330">
        <f>SUMIF($J$268:$J$287,B302,$F$268:$F$287)+SUMIF($T$268:$T$287,B302,$P$268:$P$287)+SUMIF($AD$268:$AD$287,B302,$Z$268:$Z$287)+SUMIF($AN$268:$AN$287,B302,$AJ$268:$AJ$287)+SUMIF($AX$268:$AX$287,B302,$AT$268:$AT$287)</f>
        <v>0</v>
      </c>
      <c r="F302" s="330">
        <f ca="1">SUMIF($K$268:$K$287,B302,$G$268:$G$287)+SUMIF($U$268:$U$287,B302,$Q$268:$Q$287)+SUMIF($AE$268:$AE$287,B302,$AA$268:$AA$287)+SUMIF($AO$268:$AO$287,B302,$AK$268:$AK$287)+SUMIF($AY$268:$AY$287,B302,$AU$268:$AU$287)+SUMIF($G$293:$G$297,B302,$O$293:$O$297)</f>
        <v>29830.391333399049</v>
      </c>
      <c r="G302" s="330">
        <f>SUMIF($L$268:$L$287,B302,$H$268:$H$287)+SUMIF($V$268:$V$287,B302,$R$268:$R$287)+SUMIF($AF$268:$AF$287,B302,$AB$268:$AB$287)+SUMIF($AP$268:$AP$287,B302,$AL$268:$AL$287)+SUMIF($AZ$268:$AZ$287,B302,$AV$268:$AV$287)+SUMIF($F$293:$F$297,B302,$P$293:$P$297)</f>
        <v>0</v>
      </c>
      <c r="H302" s="330">
        <f>IF(ISERROR(VLOOKUP(D302,indic_stock_CH4,2,FALSE)),"",VLOOKUP(D302,indic_stock_CH4,2,FALSE))</f>
        <v>5</v>
      </c>
      <c r="I302" s="365">
        <f>IF(ISERROR(HLOOKUP($C$12,MCF,Emissions!H302,FALSE)),"",HLOOKUP($C$12,MCF,Emissions!H302,FALSE))</f>
        <v>1.4999999999999999E-2</v>
      </c>
      <c r="J302" s="361">
        <f ca="1">IF(ISERROR(SUM(E302:G302)*I302),0,SUM(E302:G302)*I302)</f>
        <v>447.45587000098573</v>
      </c>
    </row>
    <row r="303" spans="1:66" ht="21.6" hidden="1" customHeight="1" x14ac:dyDescent="0.25">
      <c r="A303" s="367">
        <v>2</v>
      </c>
      <c r="B303" s="280" t="str">
        <f>IF(Exploitation!B124="","non_renseigné",Exploitation!B124)</f>
        <v>non_renseigné</v>
      </c>
      <c r="C303" s="280" t="str">
        <f>IF(Exploitation!C124="","",Exploitation!C124)</f>
        <v/>
      </c>
      <c r="D303" s="280" t="str">
        <f>IF(Exploitation!D124="","",Exploitation!D124)</f>
        <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si="554">SUMIF($L$268:$L$287,B303,$H$268:$H$287)+SUMIF($V$268:$V$287,B303,$R$268:$R$287)+SUMIF($AF$268:$AF$287,B303,$AB$268:$AB$287)+SUMIF($AP$268:$AP$287,B303,$AL$268:$AL$287)+SUMIF($AZ$268:$AZ$287,B303,$AV$268:$AV$287)+SUMIF($F$293:$F$297,B303,$P$293:$P$297)</f>
        <v>0</v>
      </c>
      <c r="H303" s="330" t="str">
        <f>IF(ISERROR(VLOOKUP(D303,indic_stock_CH4,2,FALSE)),"",VLOOKUP(D303,indic_stock_CH4,2,FALSE))</f>
        <v/>
      </c>
      <c r="I303" s="365" t="str">
        <f>IF(ISERROR(HLOOKUP($C$12,MCF,Emissions!H303,FALSE)),"",HLOOKUP($C$12,MCF,Emissions!H303,FALSE))</f>
        <v/>
      </c>
      <c r="J303" s="361">
        <f t="shared" ref="J303:J306"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70" t="s">
        <v>348</v>
      </c>
      <c r="C312" s="570"/>
      <c r="D312" s="570"/>
      <c r="E312" s="324">
        <f ca="1">$C$309+SUM($J$302:$J$306)+SUM($M$293:$M$297)</f>
        <v>447.45587000098573</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1" t="s">
        <v>196</v>
      </c>
      <c r="J318" s="562"/>
      <c r="K318" s="562"/>
      <c r="L318" s="562"/>
      <c r="M318" s="563"/>
      <c r="N318" s="561" t="s">
        <v>197</v>
      </c>
      <c r="O318" s="562"/>
      <c r="P318" s="562"/>
      <c r="Q318" s="562"/>
      <c r="R318" s="563"/>
      <c r="S318" s="561" t="s">
        <v>236</v>
      </c>
      <c r="T318" s="562"/>
      <c r="U318" s="562"/>
      <c r="V318" s="562"/>
      <c r="W318" s="563"/>
      <c r="X318" s="561" t="s">
        <v>454</v>
      </c>
      <c r="Y318" s="562"/>
      <c r="Z318" s="562"/>
      <c r="AA318" s="562"/>
      <c r="AB318" s="563"/>
      <c r="AC318" s="561" t="s">
        <v>455</v>
      </c>
      <c r="AD318" s="562"/>
      <c r="AE318" s="562"/>
      <c r="AF318" s="562"/>
      <c r="AG318" s="563"/>
      <c r="AH318" s="568" t="s">
        <v>434</v>
      </c>
      <c r="AI318" s="568"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69"/>
      <c r="AI319" s="569"/>
    </row>
    <row r="320" spans="1:35" hidden="1" x14ac:dyDescent="0.25">
      <c r="A320" s="279">
        <v>1</v>
      </c>
      <c r="B320" s="280" t="str">
        <f>B268</f>
        <v>P1</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Poulets_de_chair</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0.04</v>
      </c>
      <c r="L320" s="296">
        <f t="shared" ref="L320:L339" si="561">IF(ISERROR(J320*K19*K320),"",J320*K19*K320)</f>
        <v>1355.341617637795</v>
      </c>
      <c r="M320" s="296">
        <f>IF(ISERROR(L320*$H320),"",L320*$H320)</f>
        <v>1355.341617637795</v>
      </c>
      <c r="N320" s="281" t="str">
        <f>Q46</f>
        <v/>
      </c>
      <c r="O320" s="320" t="str">
        <f>S241</f>
        <v/>
      </c>
      <c r="P320" s="326" t="str">
        <f t="shared" ref="P320:P339" si="562">IF(OR(N320="Poules_pondeuses",N320="Poulettes"),IF(ISERROR(VLOOKUP($C320,Particules_poules,3,FALSE)),"",VLOOKUP($C320,Particules_poules,3,FALSE)),IF(ISERROR(VLOOKUP(N320,Particules_autres,3,FALSE)),"",VLOOKUP(N320,Particules_autres,3,FALSE)))</f>
        <v/>
      </c>
      <c r="Q320" s="296" t="str">
        <f t="shared" ref="Q320:Q339" si="563">IF(ISERROR(O320*S19*P320),"",O320*S19*P320)</f>
        <v/>
      </c>
      <c r="R320" s="296" t="str">
        <f>IF(ISERROR(Q320*$H320),"",Q320*$H320)</f>
        <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1355.341617637795</v>
      </c>
      <c r="AI320" s="296">
        <f>SUM(M320,R320,W320,AB320,AG320)</f>
        <v>1355.341617637795</v>
      </c>
    </row>
    <row r="321" spans="1:35" hidden="1" x14ac:dyDescent="0.25">
      <c r="A321" s="279">
        <v>2</v>
      </c>
      <c r="B321" s="280" t="str">
        <f t="shared" ref="B321:B339" si="573">B269</f>
        <v/>
      </c>
      <c r="C321" s="281" t="str">
        <f t="shared" ref="C321" si="574">C242</f>
        <v/>
      </c>
      <c r="D321" s="281" t="str">
        <f t="shared" ref="D321:E321" si="575">D73</f>
        <v/>
      </c>
      <c r="E321" s="281" t="str">
        <f t="shared" si="575"/>
        <v/>
      </c>
      <c r="F321" s="325" t="str">
        <f t="shared" si="557"/>
        <v/>
      </c>
      <c r="G321" s="325" t="str">
        <f>IF(ISERROR(VLOOKUP(E321,FA_particules_air,2,FALSE)),"",VLOOKUP(E321,FA_particules_air,2,FALSE))</f>
        <v/>
      </c>
      <c r="H321" s="313" t="str">
        <f t="shared" ref="H321:H339" si="576">IF(F321&lt;G321,F321,G321)</f>
        <v/>
      </c>
      <c r="I321" s="281" t="str">
        <f t="shared" si="558"/>
        <v/>
      </c>
      <c r="J321" s="320" t="str">
        <f t="shared" si="559"/>
        <v/>
      </c>
      <c r="K321" s="326" t="str">
        <f t="shared" si="560"/>
        <v/>
      </c>
      <c r="L321" s="296" t="str">
        <f t="shared" si="561"/>
        <v/>
      </c>
      <c r="M321" s="296" t="str">
        <f t="shared" ref="M321:M339" si="577">IF(ISERROR(L321*$H321),"",L321*$H321)</f>
        <v/>
      </c>
      <c r="N321" s="281" t="str">
        <f t="shared" ref="N321:N339" si="578">Q47</f>
        <v/>
      </c>
      <c r="O321" s="320" t="str">
        <f t="shared" ref="O321:O339" si="579">S242</f>
        <v/>
      </c>
      <c r="P321" s="326" t="str">
        <f t="shared" si="562"/>
        <v/>
      </c>
      <c r="Q321" s="296" t="str">
        <f t="shared" si="563"/>
        <v/>
      </c>
      <c r="R321" s="296" t="str">
        <f t="shared" ref="R321:R339" si="580">IF(ISERROR(Q321*$H321),"",Q321*$H321)</f>
        <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0</v>
      </c>
      <c r="AI321" s="296">
        <f t="shared" ref="AI321:AI339" si="588">SUM(M321,R321,W321)</f>
        <v>0</v>
      </c>
    </row>
    <row r="322" spans="1:35" hidden="1" x14ac:dyDescent="0.25">
      <c r="A322" s="279">
        <v>3</v>
      </c>
      <c r="B322" s="280" t="str">
        <f t="shared" si="573"/>
        <v/>
      </c>
      <c r="C322" s="281" t="str">
        <f t="shared" ref="C322" si="589">C243</f>
        <v/>
      </c>
      <c r="D322" s="281" t="str">
        <f t="shared" ref="D322:E322" si="590">D74</f>
        <v/>
      </c>
      <c r="E322" s="281" t="str">
        <f t="shared" si="590"/>
        <v/>
      </c>
      <c r="F322" s="325" t="str">
        <f t="shared" si="557"/>
        <v/>
      </c>
      <c r="G322" s="325" t="str">
        <f>IF(ISERROR(VLOOKUP(E322,FA_particules_air,2,FALSE)),"",VLOOKUP(E322,FA_particules_air,2,FALSE))</f>
        <v/>
      </c>
      <c r="H322" s="313" t="str">
        <f t="shared" si="576"/>
        <v/>
      </c>
      <c r="I322" s="281" t="str">
        <f t="shared" si="558"/>
        <v/>
      </c>
      <c r="J322" s="320" t="str">
        <f t="shared" si="559"/>
        <v/>
      </c>
      <c r="K322" s="326" t="str">
        <f t="shared" si="560"/>
        <v/>
      </c>
      <c r="L322" s="296" t="str">
        <f t="shared" si="561"/>
        <v/>
      </c>
      <c r="M322" s="296" t="str">
        <f t="shared" si="577"/>
        <v/>
      </c>
      <c r="N322" s="281" t="str">
        <f t="shared" si="578"/>
        <v/>
      </c>
      <c r="O322" s="320" t="str">
        <f t="shared" si="579"/>
        <v/>
      </c>
      <c r="P322" s="326" t="str">
        <f t="shared" si="562"/>
        <v/>
      </c>
      <c r="Q322" s="296" t="str">
        <f t="shared" si="563"/>
        <v/>
      </c>
      <c r="R322" s="296" t="str">
        <f t="shared" si="580"/>
        <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0</v>
      </c>
      <c r="AI322" s="296">
        <f t="shared" si="588"/>
        <v>0</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70" t="s">
        <v>356</v>
      </c>
      <c r="C342" s="570"/>
      <c r="D342" s="570"/>
      <c r="E342" s="324">
        <f>SUM(AI320:AI339)</f>
        <v>1355.341617637795</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1" t="s">
        <v>196</v>
      </c>
      <c r="J348" s="562"/>
      <c r="K348" s="562"/>
      <c r="L348" s="562"/>
      <c r="M348" s="563"/>
      <c r="N348" s="561" t="s">
        <v>197</v>
      </c>
      <c r="O348" s="562"/>
      <c r="P348" s="562"/>
      <c r="Q348" s="562"/>
      <c r="R348" s="563"/>
      <c r="S348" s="561" t="s">
        <v>236</v>
      </c>
      <c r="T348" s="562"/>
      <c r="U348" s="562"/>
      <c r="V348" s="562"/>
      <c r="W348" s="563"/>
      <c r="X348" s="561" t="s">
        <v>454</v>
      </c>
      <c r="Y348" s="562"/>
      <c r="Z348" s="562"/>
      <c r="AA348" s="562"/>
      <c r="AB348" s="563"/>
      <c r="AC348" s="561" t="s">
        <v>455</v>
      </c>
      <c r="AD348" s="562"/>
      <c r="AE348" s="562"/>
      <c r="AF348" s="562"/>
      <c r="AG348" s="563"/>
      <c r="AH348" s="568" t="s">
        <v>438</v>
      </c>
      <c r="AI348" s="568"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69"/>
      <c r="AI349" s="569"/>
    </row>
    <row r="350" spans="1:35" hidden="1" x14ac:dyDescent="0.25">
      <c r="A350" s="279">
        <v>1</v>
      </c>
      <c r="B350" s="280" t="str">
        <f>B320</f>
        <v>P1</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Poulets_de_chair</v>
      </c>
      <c r="J350" s="320">
        <f t="shared" si="623"/>
        <v>1</v>
      </c>
      <c r="K350" s="326">
        <f>IF(OR(I350="Poules_pondeuses",I350="Poulettes"),IF(ISERROR(VLOOKUP($C350,Particules_poules,2,FALSE)),"",VLOOKUP($C350,Particules_poules,2,FALSE)),IF(ISERROR(VLOOKUP(I350,Particules_autres,2,FALSE)),"",VLOOKUP(I350,Particules_autres,2,FALSE)))</f>
        <v>0.02</v>
      </c>
      <c r="L350" s="296">
        <f t="shared" ref="L350:L369" si="624">IF(ISERROR(J350*K19*K350),"",J350*K19*K350)</f>
        <v>677.67080881889751</v>
      </c>
      <c r="M350" s="296">
        <f>IF(ISERROR(L350*$H350),"",L350*$H350)</f>
        <v>677.67080881889751</v>
      </c>
      <c r="N350" s="281" t="str">
        <f t="shared" ref="N350:O369" si="625">N320</f>
        <v/>
      </c>
      <c r="O350" s="320" t="str">
        <f t="shared" si="625"/>
        <v/>
      </c>
      <c r="P350" s="326" t="str">
        <f>IF(OR(N350="Poules_pondeuses",N350="Poulettes"),IF(ISERROR(VLOOKUP($C350,Particules_poules,2,FALSE)),"",VLOOKUP($C350,Particules_poules,2,FALSE)),IF(ISERROR(VLOOKUP(N350,Particules_autres,2,FALSE)),"",VLOOKUP(N350,Particules_autres,2,FALSE)))</f>
        <v/>
      </c>
      <c r="Q350" s="296" t="str">
        <f t="shared" ref="Q350:Q369" si="626">IF(ISERROR(O350*S19*P350),"",O350*S19*P350)</f>
        <v/>
      </c>
      <c r="R350" s="296" t="str">
        <f>IF(ISERROR(Q350*$H350),"",Q350*$H350)</f>
        <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677.67080881889751</v>
      </c>
      <c r="AI350" s="296">
        <f>SUM(M350,R350,W350,AB350,AG350)</f>
        <v>677.67080881889751</v>
      </c>
    </row>
    <row r="351" spans="1:35" hidden="1" x14ac:dyDescent="0.25">
      <c r="A351" s="279">
        <v>2</v>
      </c>
      <c r="B351" s="280" t="str">
        <f t="shared" ref="B351:H351" si="636">B321</f>
        <v/>
      </c>
      <c r="C351" s="280" t="str">
        <f t="shared" si="636"/>
        <v/>
      </c>
      <c r="D351" s="281" t="str">
        <f t="shared" si="636"/>
        <v/>
      </c>
      <c r="E351" s="281" t="str">
        <f t="shared" si="636"/>
        <v/>
      </c>
      <c r="F351" s="325" t="str">
        <f t="shared" si="636"/>
        <v/>
      </c>
      <c r="G351" s="325" t="str">
        <f t="shared" si="636"/>
        <v/>
      </c>
      <c r="H351" s="313" t="str">
        <f t="shared" si="636"/>
        <v/>
      </c>
      <c r="I351" s="281" t="str">
        <f t="shared" si="623"/>
        <v/>
      </c>
      <c r="J351" s="320" t="str">
        <f t="shared" si="623"/>
        <v/>
      </c>
      <c r="K351" s="326" t="str">
        <f t="shared" ref="K351:K369" si="637">IF(OR(I351="Poules_pondeuses",I351="Poulettes"),IF(ISERROR(VLOOKUP($C351,Particules_poules,2,FALSE)),"",VLOOKUP($C351,Particules_poules,2,FALSE)),IF(ISERROR(VLOOKUP(I351,Particules_autres,2,FALSE)),"",VLOOKUP(I351,Particules_autres,2,FALSE)))</f>
        <v/>
      </c>
      <c r="L351" s="296" t="str">
        <f t="shared" si="624"/>
        <v/>
      </c>
      <c r="M351" s="296" t="str">
        <f t="shared" ref="M351:M369" si="638">IF(ISERROR(L351*$H351),"",L351*$H351)</f>
        <v/>
      </c>
      <c r="N351" s="281" t="str">
        <f t="shared" si="625"/>
        <v/>
      </c>
      <c r="O351" s="320" t="str">
        <f t="shared" si="625"/>
        <v/>
      </c>
      <c r="P351" s="326" t="str">
        <f t="shared" ref="P351:P369" si="639">IF(OR(N351="Poules_pondeuses",N351="Poulettes"),IF(ISERROR(VLOOKUP($C351,Particules_poules,2,FALSE)),"",VLOOKUP($C351,Particules_poules,2,FALSE)),IF(ISERROR(VLOOKUP(N351,Particules_autres,2,FALSE)),"",VLOOKUP(N351,Particules_autres,2,FALSE)))</f>
        <v/>
      </c>
      <c r="Q351" s="296" t="str">
        <f t="shared" si="626"/>
        <v/>
      </c>
      <c r="R351" s="296" t="str">
        <f t="shared" ref="R351:R368" si="640">IF(ISERROR(Q351*$H351),"",Q351*$H351)</f>
        <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0</v>
      </c>
      <c r="AI351" s="296">
        <f t="shared" ref="AI351:AI369" si="645">SUM(M351,R351,W351,AB351,AG351)</f>
        <v>0</v>
      </c>
    </row>
    <row r="352" spans="1:35" hidden="1" x14ac:dyDescent="0.25">
      <c r="A352" s="279">
        <v>3</v>
      </c>
      <c r="B352" s="280" t="str">
        <f t="shared" ref="B352:H352" si="646">B322</f>
        <v/>
      </c>
      <c r="C352" s="280" t="str">
        <f t="shared" si="646"/>
        <v/>
      </c>
      <c r="D352" s="281" t="str">
        <f t="shared" si="646"/>
        <v/>
      </c>
      <c r="E352" s="281" t="str">
        <f t="shared" si="646"/>
        <v/>
      </c>
      <c r="F352" s="325" t="str">
        <f t="shared" si="646"/>
        <v/>
      </c>
      <c r="G352" s="325" t="str">
        <f t="shared" si="646"/>
        <v/>
      </c>
      <c r="H352" s="313" t="str">
        <f t="shared" si="646"/>
        <v/>
      </c>
      <c r="I352" s="281" t="str">
        <f t="shared" si="623"/>
        <v/>
      </c>
      <c r="J352" s="320" t="str">
        <f t="shared" si="623"/>
        <v/>
      </c>
      <c r="K352" s="326" t="str">
        <f t="shared" si="637"/>
        <v/>
      </c>
      <c r="L352" s="296" t="str">
        <f t="shared" si="624"/>
        <v/>
      </c>
      <c r="M352" s="296" t="str">
        <f t="shared" si="638"/>
        <v/>
      </c>
      <c r="N352" s="281" t="str">
        <f t="shared" si="625"/>
        <v/>
      </c>
      <c r="O352" s="320" t="str">
        <f t="shared" si="625"/>
        <v/>
      </c>
      <c r="P352" s="326" t="str">
        <f t="shared" si="639"/>
        <v/>
      </c>
      <c r="Q352" s="296" t="str">
        <f t="shared" si="626"/>
        <v/>
      </c>
      <c r="R352" s="296" t="str">
        <f t="shared" si="640"/>
        <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0</v>
      </c>
      <c r="AI352" s="296">
        <f t="shared" si="645"/>
        <v>0</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70" t="s">
        <v>431</v>
      </c>
      <c r="C372" s="570"/>
      <c r="D372" s="570"/>
      <c r="E372" s="324">
        <f>SUM(AI350:AI369)</f>
        <v>677.67080881889751</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v>
      </c>
      <c r="C380" s="313">
        <f>SUM(J46,V46,AH46,AT46,BF46)</f>
        <v>6941.3177987999998</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
      </c>
      <c r="C381" s="313">
        <f t="shared" ref="C381:C399" si="665">SUM(J47,V47,AH47,AT47,BF47)</f>
        <v>0</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
      </c>
      <c r="C382" s="313">
        <f t="shared" si="665"/>
        <v>0</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6941.3177987999998</v>
      </c>
      <c r="D401" s="361">
        <f>SUM($D$380:$D$399)</f>
        <v>0</v>
      </c>
      <c r="E401" s="361">
        <f ca="1">SUM($FO$157:$FO$176)</f>
        <v>6.9413177988000001</v>
      </c>
      <c r="F401" s="361">
        <f ca="1">SUMPRODUCT($F$183:$F$192,$I$183:$I$192)+SUMPRODUCT($F$183:$F$192,$J$183:$J$192)+SUMPRODUCT($F$183:$F$192,$K$183:$K$192)</f>
        <v>3630.3092087724008</v>
      </c>
      <c r="G401" s="317">
        <f>'Donnees d''entrée'!$C$676</f>
        <v>0.01</v>
      </c>
      <c r="H401" s="317">
        <f>'Donnees d''entrée'!$C$677</f>
        <v>0.02</v>
      </c>
      <c r="I401" s="361">
        <f ca="1">F401*G401+D401*H401</f>
        <v>36.303092087724011</v>
      </c>
      <c r="J401" s="361">
        <f ca="1">E401+I401</f>
        <v>43.244409886524011</v>
      </c>
      <c r="K401" s="361">
        <f ca="1">E94+SUM($FT$157:$FT$176)+SUM($FN$157:$FN$176)</f>
        <v>1671.46932595104</v>
      </c>
      <c r="L401" s="361">
        <f ca="1">E198+E227+(F401+D401)*'Donnees d''entrée'!$C$682/100</f>
        <v>423.17049828604326</v>
      </c>
      <c r="M401" s="317">
        <f>'Donnees d''entrée'!$C$679</f>
        <v>0.01</v>
      </c>
      <c r="N401" s="361">
        <f ca="1">SUM($FQ$157:$FQ$176)+(F401+D401)*'Donnees d''entrée'!$C$684</f>
        <v>1555.5493187110801</v>
      </c>
      <c r="O401" s="317">
        <f>'Donnees d''entrée'!$C$680</f>
        <v>7.4999999999999997E-3</v>
      </c>
      <c r="P401" s="361">
        <f ca="1">(K401+L401)*M401</f>
        <v>20.946398242370833</v>
      </c>
      <c r="Q401" s="361">
        <f ca="1">N401*O401</f>
        <v>11.6666198903331</v>
      </c>
      <c r="R401" s="361">
        <f ca="1">P401+Q401</f>
        <v>32.613018132703935</v>
      </c>
      <c r="S401" s="361">
        <f ca="1">R401+J401</f>
        <v>75.857428019227939</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70" t="s">
        <v>367</v>
      </c>
      <c r="C406" s="570"/>
      <c r="D406" s="570"/>
      <c r="E406" s="324">
        <f ca="1">S401</f>
        <v>75.857428019227939</v>
      </c>
      <c r="F406" s="309" t="s">
        <v>368</v>
      </c>
      <c r="Q406"/>
      <c r="R406"/>
      <c r="S406"/>
      <c r="T406"/>
      <c r="U406"/>
      <c r="V406"/>
    </row>
    <row r="407" spans="1:24" hidden="1" x14ac:dyDescent="0.25">
      <c r="Q407"/>
      <c r="R407"/>
      <c r="S407"/>
      <c r="T407"/>
      <c r="U407"/>
      <c r="V407"/>
    </row>
    <row r="408" spans="1:24" ht="27" hidden="1" customHeight="1" x14ac:dyDescent="0.4">
      <c r="B408" s="570" t="s">
        <v>369</v>
      </c>
      <c r="C408" s="570"/>
      <c r="D408" s="570"/>
      <c r="E408" s="324">
        <f ca="1">IF(ISERROR(E406*44/28),0,E406*44/28)</f>
        <v>119.20452974450106</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2" t="s">
        <v>196</v>
      </c>
      <c r="C417" s="512"/>
      <c r="D417" s="512"/>
      <c r="E417" s="512" t="s">
        <v>197</v>
      </c>
      <c r="F417" s="512"/>
      <c r="G417" s="512"/>
      <c r="H417" s="512" t="s">
        <v>236</v>
      </c>
      <c r="I417" s="512"/>
      <c r="J417" s="512"/>
      <c r="K417" s="512" t="s">
        <v>454</v>
      </c>
      <c r="L417" s="512"/>
      <c r="M417" s="512"/>
      <c r="N417" s="512" t="s">
        <v>455</v>
      </c>
      <c r="O417" s="512"/>
      <c r="P417" s="512"/>
      <c r="R417" s="565" t="s">
        <v>922</v>
      </c>
      <c r="T417" s="567"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66"/>
      <c r="T418" s="567"/>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1082.2145477219999</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0</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1082.2145477219999</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0</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0</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0</v>
      </c>
      <c r="T420" s="501">
        <f>IF(ISERROR(VLOOKUP(C73,'Donnees d''entrée'!$B$417:$G$440,2,FALSE)),0,VLOOKUP(C73,'Donnees d''entrée'!$B$417:$G$440,2,FALSE))</f>
        <v>0</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0</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0</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0</v>
      </c>
      <c r="T421" s="501">
        <f>IF(ISERROR(VLOOKUP(C74,'Donnees d''entrée'!$B$417:$G$440,2,FALSE)),0,VLOOKUP(C74,'Donnees d''entrée'!$B$417:$G$440,2,FALSE))</f>
        <v>0</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58" t="s">
        <v>298</v>
      </c>
      <c r="C440" s="558"/>
      <c r="D440" s="558"/>
      <c r="E440" s="308">
        <f ca="1">SUM(R419:R438)</f>
        <v>1082.2145477219999</v>
      </c>
      <c r="F440" s="309" t="s">
        <v>106</v>
      </c>
    </row>
    <row r="443" spans="1:63" x14ac:dyDescent="0.25">
      <c r="B443" s="560" t="s">
        <v>196</v>
      </c>
      <c r="C443" s="560"/>
      <c r="D443" s="560"/>
      <c r="E443" s="560"/>
      <c r="F443" s="560"/>
      <c r="G443" s="560"/>
      <c r="H443" s="560"/>
      <c r="I443" s="560"/>
      <c r="J443" s="560"/>
      <c r="K443" s="560"/>
      <c r="L443" s="560"/>
      <c r="M443" s="560"/>
      <c r="N443" s="560" t="s">
        <v>197</v>
      </c>
      <c r="O443" s="560"/>
      <c r="P443" s="560"/>
      <c r="Q443" s="560"/>
      <c r="R443" s="560"/>
      <c r="S443" s="560"/>
      <c r="T443" s="560"/>
      <c r="U443" s="560"/>
      <c r="V443" s="560"/>
      <c r="W443" s="560"/>
      <c r="X443" s="560"/>
      <c r="Y443" s="560"/>
      <c r="Z443" s="560" t="s">
        <v>236</v>
      </c>
      <c r="AA443" s="560"/>
      <c r="AB443" s="560"/>
      <c r="AC443" s="560"/>
      <c r="AD443" s="560"/>
      <c r="AE443" s="560"/>
      <c r="AF443" s="560"/>
      <c r="AG443" s="560"/>
      <c r="AH443" s="560"/>
      <c r="AI443" s="560"/>
      <c r="AJ443" s="560"/>
      <c r="AK443" s="560"/>
      <c r="AL443" s="560" t="s">
        <v>454</v>
      </c>
      <c r="AM443" s="560"/>
      <c r="AN443" s="560"/>
      <c r="AO443" s="560"/>
      <c r="AP443" s="560"/>
      <c r="AQ443" s="560"/>
      <c r="AR443" s="560"/>
      <c r="AS443" s="560"/>
      <c r="AT443" s="560"/>
      <c r="AU443" s="560"/>
      <c r="AV443" s="560"/>
      <c r="AW443" s="560"/>
      <c r="AX443" s="560" t="s">
        <v>455</v>
      </c>
      <c r="AY443" s="560"/>
      <c r="AZ443" s="560"/>
      <c r="BA443" s="560"/>
      <c r="BB443" s="560"/>
      <c r="BC443" s="560"/>
      <c r="BD443" s="560"/>
      <c r="BE443" s="560"/>
      <c r="BF443" s="560"/>
      <c r="BG443" s="560"/>
      <c r="BH443" s="560"/>
      <c r="BI443" s="560"/>
      <c r="BK443" s="564"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4"/>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6132.5491037579995</v>
      </c>
      <c r="E445" s="482">
        <f ca="1">IF(ISERROR(VLOOKUP($F46,ITAVI_2013_volailles!$C:$J,7,FALSE)*$J19/1000*$H46/100*O72-C419),0,VLOOKUP($F46,ITAVI_2013_volailles!$C:$J,7,FALSE)*$J19/1000*$H46/100*O72-C419)</f>
        <v>9224.5906686779999</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0.17</v>
      </c>
      <c r="K445" s="282">
        <f ca="1">B445*J445</f>
        <v>0</v>
      </c>
      <c r="L445" s="282">
        <f ca="1">D445*J445</f>
        <v>1042.5333476388601</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0</v>
      </c>
      <c r="Q445" s="482">
        <f ca="1">IF(ISERROR(VLOOKUP($R46,ITAVI_2013_volailles!$C:$J,7,FALSE)*$R19/1000*$T46/100*V72-F419),0,VLOOKUP($R46,ITAVI_2013_volailles!$C:$J,7,FALSE)*$R19/1000*$T46/100*V72-F419)</f>
        <v>0</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v>
      </c>
      <c r="W445" s="282">
        <f ca="1">N445*V445</f>
        <v>0</v>
      </c>
      <c r="X445" s="282">
        <f ca="1">P445*V445</f>
        <v>0</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1042.5333476388601</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0</v>
      </c>
      <c r="E446" s="482">
        <f ca="1">IF(ISERROR(VLOOKUP($F47,ITAVI_2013_volailles!$C:$J,7,FALSE)*$J20/1000*$H47/100*O73-C420),0,VLOOKUP($F47,ITAVI_2013_volailles!$C:$J,7,FALSE)*$J20/1000*$H47/100*O73-C420)</f>
        <v>0</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v>
      </c>
      <c r="K446" s="282">
        <f t="shared" ref="K446:K464" ca="1" si="670">B446*J446</f>
        <v>0</v>
      </c>
      <c r="L446" s="282">
        <f t="shared" ref="L446:L464" ca="1" si="671">D446*J446</f>
        <v>0</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0</v>
      </c>
      <c r="Q446" s="482">
        <f ca="1">IF(ISERROR(VLOOKUP($R47,ITAVI_2013_volailles!$C:$J,7,FALSE)*$R20/1000*$T47/100*V73-F420),0,VLOOKUP($R47,ITAVI_2013_volailles!$C:$J,7,FALSE)*$R20/1000*$T47/100*V73-F420)</f>
        <v>0</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v>
      </c>
      <c r="W446" s="282">
        <f t="shared" ref="W446:W464" ca="1" si="675">N446*V446</f>
        <v>0</v>
      </c>
      <c r="X446" s="282">
        <f t="shared" ref="X446:X464" ca="1" si="676">P446*V446</f>
        <v>0</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0</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0</v>
      </c>
      <c r="E447" s="482">
        <f ca="1">IF(ISERROR(VLOOKUP($F48,ITAVI_2013_volailles!$C:$J,7,FALSE)*$J21/1000*$H48/100*O74-C421),0,VLOOKUP($F48,ITAVI_2013_volailles!$C:$J,7,FALSE)*$J21/1000*$H48/100*O74-C421)</f>
        <v>0</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v>
      </c>
      <c r="K447" s="282">
        <f t="shared" ca="1" si="670"/>
        <v>0</v>
      </c>
      <c r="L447" s="282">
        <f t="shared" ca="1" si="671"/>
        <v>0</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0</v>
      </c>
      <c r="Q447" s="482">
        <f ca="1">IF(ISERROR(VLOOKUP($R48,ITAVI_2013_volailles!$C:$J,7,FALSE)*$R21/1000*$T48/100*V74-F421),0,VLOOKUP($R48,ITAVI_2013_volailles!$C:$J,7,FALSE)*$R21/1000*$T48/100*V74-F421)</f>
        <v>0</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v>
      </c>
      <c r="W447" s="282">
        <f t="shared" ca="1" si="675"/>
        <v>0</v>
      </c>
      <c r="X447" s="282">
        <f t="shared" ca="1" si="676"/>
        <v>0</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0</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58" t="s">
        <v>297</v>
      </c>
      <c r="C466" s="558"/>
      <c r="D466" s="558"/>
      <c r="E466" s="308">
        <f ca="1">SUM(BK445:BK464)</f>
        <v>1042.5333476388601</v>
      </c>
      <c r="F466" s="309" t="s">
        <v>106</v>
      </c>
    </row>
    <row r="468" spans="1:156" x14ac:dyDescent="0.25">
      <c r="B468" s="561" t="s">
        <v>196</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3"/>
      <c r="AI468" s="560" t="s">
        <v>197</v>
      </c>
      <c r="AJ468" s="560"/>
      <c r="AK468" s="560"/>
      <c r="AL468" s="560"/>
      <c r="AM468" s="560"/>
      <c r="AN468" s="560"/>
      <c r="AO468" s="560"/>
      <c r="AP468" s="560"/>
      <c r="AQ468" s="560"/>
      <c r="AR468" s="560"/>
      <c r="AS468" s="560"/>
      <c r="AT468" s="560"/>
      <c r="AU468" s="560"/>
      <c r="AV468" s="560"/>
      <c r="AW468" s="560"/>
      <c r="AX468" s="560"/>
      <c r="AY468" s="560"/>
      <c r="AZ468" s="560"/>
      <c r="BA468" s="560"/>
      <c r="BB468" s="560"/>
      <c r="BC468" s="560"/>
      <c r="BD468" s="560"/>
      <c r="BE468" s="560"/>
      <c r="BF468" s="560"/>
      <c r="BG468" s="560"/>
      <c r="BH468" s="560"/>
      <c r="BI468" s="560"/>
      <c r="BJ468" s="560"/>
      <c r="BK468" s="560"/>
      <c r="BL468" s="560"/>
      <c r="BM468" s="560" t="s">
        <v>236</v>
      </c>
      <c r="BN468" s="560"/>
      <c r="BO468" s="560"/>
      <c r="BP468" s="560"/>
      <c r="BQ468" s="560"/>
      <c r="BR468" s="560"/>
      <c r="BS468" s="560"/>
      <c r="BT468" s="560"/>
      <c r="BU468" s="560"/>
      <c r="BV468" s="560"/>
      <c r="BW468" s="560"/>
      <c r="BX468" s="560"/>
      <c r="BY468" s="560"/>
      <c r="BZ468" s="560"/>
      <c r="CA468" s="560"/>
      <c r="CB468" s="560"/>
      <c r="CC468" s="560"/>
      <c r="CD468" s="560"/>
      <c r="CE468" s="560"/>
      <c r="CF468" s="560"/>
      <c r="CG468" s="560"/>
      <c r="CH468" s="560"/>
      <c r="CI468" s="560"/>
      <c r="CJ468" s="560"/>
      <c r="CK468" s="560"/>
      <c r="CL468" s="560"/>
      <c r="CM468" s="560"/>
      <c r="CN468" s="560"/>
      <c r="CO468" s="560"/>
      <c r="CP468" s="560"/>
      <c r="CQ468" s="560" t="s">
        <v>454</v>
      </c>
      <c r="CR468" s="560"/>
      <c r="CS468" s="560"/>
      <c r="CT468" s="560"/>
      <c r="CU468" s="560"/>
      <c r="CV468" s="560"/>
      <c r="CW468" s="560"/>
      <c r="CX468" s="560"/>
      <c r="CY468" s="560"/>
      <c r="CZ468" s="560"/>
      <c r="DA468" s="560"/>
      <c r="DB468" s="560"/>
      <c r="DC468" s="560"/>
      <c r="DD468" s="560"/>
      <c r="DE468" s="560"/>
      <c r="DF468" s="560"/>
      <c r="DG468" s="560"/>
      <c r="DH468" s="560"/>
      <c r="DI468" s="560"/>
      <c r="DJ468" s="560"/>
      <c r="DK468" s="560"/>
      <c r="DL468" s="560"/>
      <c r="DM468" s="560"/>
      <c r="DN468" s="560"/>
      <c r="DO468" s="560"/>
      <c r="DP468" s="560"/>
      <c r="DQ468" s="560"/>
      <c r="DR468" s="560"/>
      <c r="DS468" s="560"/>
      <c r="DT468" s="560"/>
      <c r="DU468" s="560" t="s">
        <v>455</v>
      </c>
      <c r="DV468" s="560"/>
      <c r="DW468" s="560"/>
      <c r="DX468" s="560"/>
      <c r="DY468" s="560"/>
      <c r="DZ468" s="560"/>
      <c r="EA468" s="560"/>
      <c r="EB468" s="560"/>
      <c r="EC468" s="560"/>
      <c r="ED468" s="560"/>
      <c r="EE468" s="560"/>
      <c r="EF468" s="560"/>
      <c r="EG468" s="560"/>
      <c r="EH468" s="560"/>
      <c r="EI468" s="560"/>
      <c r="EJ468" s="560"/>
      <c r="EK468" s="560"/>
      <c r="EL468" s="560"/>
      <c r="EM468" s="560"/>
      <c r="EN468" s="560"/>
      <c r="EO468" s="560"/>
      <c r="EP468" s="560"/>
      <c r="EQ468" s="560"/>
      <c r="ER468" s="560"/>
      <c r="ES468" s="560"/>
      <c r="ET468" s="560"/>
      <c r="EU468" s="560"/>
      <c r="EV468" s="560"/>
      <c r="EW468" s="560"/>
      <c r="EX468" s="560"/>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6132.5491037579995</v>
      </c>
      <c r="E470" s="487">
        <f t="shared" ca="1" si="694"/>
        <v>9224.5906686779999</v>
      </c>
      <c r="F470" s="487">
        <f ca="1">I445</f>
        <v>0</v>
      </c>
      <c r="G470" s="487">
        <f ca="1">G445</f>
        <v>0</v>
      </c>
      <c r="H470" s="487">
        <f ca="1">K445</f>
        <v>0</v>
      </c>
      <c r="I470" s="487">
        <f t="shared" ref="I470:J470" ca="1" si="695">L445</f>
        <v>1042.5333476388601</v>
      </c>
      <c r="J470" s="487">
        <f t="shared" ca="1" si="695"/>
        <v>0</v>
      </c>
      <c r="K470" s="361">
        <f ca="1">B470*'Donnees d''entrée'!$C$511</f>
        <v>0</v>
      </c>
      <c r="L470" s="296">
        <f ca="1">D470*'Donnees d''entrée'!$C$511</f>
        <v>61.325491037579994</v>
      </c>
      <c r="M470" s="296">
        <f ca="1">F470*'Donnees d''entrée'!$C$512</f>
        <v>0</v>
      </c>
      <c r="N470" s="296">
        <f ca="1">IF(ISERROR(J46*'Donnees d''entrée'!$C$674*(C470/(C470+E470+G470))),0,J46*'Donnees d''entrée'!$C$674*(C470/(C470+E470+G470)))</f>
        <v>0</v>
      </c>
      <c r="O470" s="361">
        <f ca="1">IF(ISERROR(J46*'Donnees d''entrée'!$C$674*(E470/(C470+E470+G470))),0,J46*'Donnees d''entrée'!$C$674*(E470/(C470+E470+G470)))</f>
        <v>6.9413177988000001</v>
      </c>
      <c r="P470" s="361">
        <f ca="1">IF(ISERROR(J46*'Donnees d''entrée'!$C$674*(G470/(C470+E470+G470))),0,J46*'Donnees d''entrée'!$C$674*(G470/(C470+E470+G470)))</f>
        <v>0</v>
      </c>
      <c r="Q470" s="361">
        <f ca="1">B470*'Donnees d''entrée'!$C$513</f>
        <v>0</v>
      </c>
      <c r="R470" s="361">
        <f ca="1">D470*'Donnees d''entrée'!$C$513</f>
        <v>1839.7647311273997</v>
      </c>
      <c r="S470" s="361">
        <f ca="1">F470*'Donnees d''entrée'!$C$514</f>
        <v>0</v>
      </c>
      <c r="T470" s="361">
        <f ca="1">B470*'Donnees d''entrée'!$C$515</f>
        <v>0</v>
      </c>
      <c r="U470" s="361">
        <f ca="1">D470*'Donnees d''entrée'!$C$515</f>
        <v>735.90589245095987</v>
      </c>
      <c r="V470" s="296">
        <f ca="1">B470-H470-K470-N470-Q470-T470</f>
        <v>0</v>
      </c>
      <c r="W470" s="296">
        <f ca="1">D470-I470-L470-O470-R470-U470</f>
        <v>2446.0783237043997</v>
      </c>
      <c r="X470" s="296">
        <f ca="1">F470-J470-M470-P470-S470</f>
        <v>0</v>
      </c>
      <c r="Y470" s="488">
        <f>AC157</f>
        <v>0.66</v>
      </c>
      <c r="Z470" s="490">
        <f>'Donnees d''entrée'!$D$541</f>
        <v>0.4</v>
      </c>
      <c r="AA470" s="490">
        <f>'Donnees d''entrée'!$D$541</f>
        <v>0.4</v>
      </c>
      <c r="AB470" s="490">
        <f>'Donnees d''entrée'!$D$525</f>
        <v>0.4</v>
      </c>
      <c r="AC470" s="296">
        <f ca="1">V470*$Y470*$Z470</f>
        <v>0</v>
      </c>
      <c r="AD470" s="296">
        <f ca="1">W470*$Y470*$AA470</f>
        <v>645.76467745796162</v>
      </c>
      <c r="AE470" s="296">
        <f ca="1">X470*$Y470*$AB470</f>
        <v>0</v>
      </c>
      <c r="AF470" s="296">
        <f t="shared" ref="AF470:AF489" ca="1" si="696">C470-H470-K470-N470-Q470-T470</f>
        <v>0</v>
      </c>
      <c r="AG470" s="296">
        <f t="shared" ref="AG470:AG489" ca="1" si="697">E470-I470-L470-O470-R470-U470</f>
        <v>5538.1198886244001</v>
      </c>
      <c r="AH470" s="296">
        <f t="shared" ref="AH470:AH489" ca="1" si="698">G470-J470-M470-P470-S470</f>
        <v>0</v>
      </c>
      <c r="AI470" s="487">
        <f ca="1">N445</f>
        <v>0</v>
      </c>
      <c r="AJ470" s="487">
        <f t="shared" ref="AJ470:AL485" ca="1" si="699">O445</f>
        <v>0</v>
      </c>
      <c r="AK470" s="487">
        <f t="shared" ca="1" si="699"/>
        <v>0</v>
      </c>
      <c r="AL470" s="487">
        <f t="shared" ca="1" si="699"/>
        <v>0</v>
      </c>
      <c r="AM470" s="487">
        <f ca="1">U445</f>
        <v>0</v>
      </c>
      <c r="AN470" s="487">
        <f ca="1">S445</f>
        <v>0</v>
      </c>
      <c r="AO470" s="487">
        <f ca="1">W445</f>
        <v>0</v>
      </c>
      <c r="AP470" s="487">
        <f t="shared" ref="AP470:AQ485" ca="1" si="700">X445</f>
        <v>0</v>
      </c>
      <c r="AQ470" s="487">
        <f t="shared" ca="1" si="700"/>
        <v>0</v>
      </c>
      <c r="AR470" s="361">
        <f ca="1">AI470*'Donnees d''entrée'!$C$511</f>
        <v>0</v>
      </c>
      <c r="AS470" s="296">
        <f ca="1">AK470*'Donnees d''entrée'!$C$511</f>
        <v>0</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0</v>
      </c>
      <c r="AW470" s="361">
        <f ca="1">IF(ISERROR(V46*'Donnees d''entrée'!$C$674*(AN470/(AJ470+AL470+AN470))),0,V46*'Donnees d''entrée'!$C$674*(AN470/(AJ470+AL470+AN470)))</f>
        <v>0</v>
      </c>
      <c r="AX470" s="361">
        <f ca="1">AI470*'Donnees d''entrée'!$C$513</f>
        <v>0</v>
      </c>
      <c r="AY470" s="361">
        <f ca="1">AK470*'Donnees d''entrée'!$C$513</f>
        <v>0</v>
      </c>
      <c r="AZ470" s="361">
        <f ca="1">AM470*'Donnees d''entrée'!$C$514</f>
        <v>0</v>
      </c>
      <c r="BA470" s="361">
        <f ca="1">AI470*'Donnees d''entrée'!$C$515</f>
        <v>0</v>
      </c>
      <c r="BB470" s="361">
        <f ca="1">AK470*'Donnees d''entrée'!$C$515</f>
        <v>0</v>
      </c>
      <c r="BC470" s="296">
        <f ca="1">AI470-AO470-AR470-AU470-AX470-BA470</f>
        <v>0</v>
      </c>
      <c r="BD470" s="296">
        <f ca="1">AK470-AP470-AS470-AV470-AY470-BB470</f>
        <v>0</v>
      </c>
      <c r="BE470" s="296">
        <f ca="1">AM470-AQ470-AT470-AW470-AZ470</f>
        <v>0</v>
      </c>
      <c r="BF470" s="488">
        <f>BJ157</f>
        <v>0</v>
      </c>
      <c r="BG470" s="296">
        <f ca="1">BC470*$BF470*$Z470</f>
        <v>0</v>
      </c>
      <c r="BH470" s="296">
        <f ca="1">BD470*$BF470*$AA470</f>
        <v>0</v>
      </c>
      <c r="BI470" s="296">
        <f ca="1">BE470*$BF470*$AB470</f>
        <v>0</v>
      </c>
      <c r="BJ470" s="296">
        <f ca="1">AJ470-AO470-AR470-AU470-AX470-BA470</f>
        <v>0</v>
      </c>
      <c r="BK470" s="296">
        <f ca="1">AL470-AP470-AS470-AV470-AY470-BB470</f>
        <v>0</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645.76467745796162</v>
      </c>
    </row>
    <row r="471" spans="1:156" x14ac:dyDescent="0.25">
      <c r="A471" s="279">
        <v>2</v>
      </c>
      <c r="B471" s="487">
        <f t="shared" ref="B471:E471" ca="1" si="705">B446</f>
        <v>0</v>
      </c>
      <c r="C471" s="487">
        <f t="shared" ca="1" si="705"/>
        <v>0</v>
      </c>
      <c r="D471" s="487">
        <f t="shared" ca="1" si="705"/>
        <v>0</v>
      </c>
      <c r="E471" s="487">
        <f t="shared" ca="1" si="705"/>
        <v>0</v>
      </c>
      <c r="F471" s="487">
        <f t="shared" ref="F471:F488" ca="1" si="706">I446</f>
        <v>0</v>
      </c>
      <c r="G471" s="487">
        <f t="shared" ref="G471:G489" ca="1" si="707">G446</f>
        <v>0</v>
      </c>
      <c r="H471" s="487">
        <f t="shared" ref="H471:H488" ca="1" si="708">K446</f>
        <v>0</v>
      </c>
      <c r="I471" s="487">
        <f t="shared" ref="I471:I488" ca="1" si="709">L446</f>
        <v>0</v>
      </c>
      <c r="J471" s="487">
        <f t="shared" ref="J471:J488" ca="1" si="710">M446</f>
        <v>0</v>
      </c>
      <c r="K471" s="361">
        <f ca="1">B471*'Donnees d''entrée'!$C$511</f>
        <v>0</v>
      </c>
      <c r="L471" s="296">
        <f ca="1">D471*'Donnees d''entrée'!$C$511</f>
        <v>0</v>
      </c>
      <c r="M471" s="296">
        <f ca="1">F471*'Donnees d''entrée'!$C$512</f>
        <v>0</v>
      </c>
      <c r="N471" s="296">
        <f ca="1">IF(ISERROR(J47*'Donnees d''entrée'!$C$674*(C471/(C471+E471+G471))),0,J47*'Donnees d''entrée'!$C$674*(C471/(C471+E471+G471)))</f>
        <v>0</v>
      </c>
      <c r="O471" s="361">
        <f ca="1">IF(ISERROR(J47*'Donnees d''entrée'!$C$674*(E471/(C471+E471+G471))),0,J47*'Donnees d''entrée'!$C$674*(E471/(C471+E471+G471)))</f>
        <v>0</v>
      </c>
      <c r="P471" s="361">
        <f ca="1">IF(ISERROR(J47*'Donnees d''entrée'!$C$674*(G471/(C471+E471+G471))),0,J47*'Donnees d''entrée'!$C$674*(G471/(C471+E471+G471)))</f>
        <v>0</v>
      </c>
      <c r="Q471" s="361">
        <f ca="1">B471*'Donnees d''entrée'!$C$513</f>
        <v>0</v>
      </c>
      <c r="R471" s="361">
        <f ca="1">D471*'Donnees d''entrée'!$C$513</f>
        <v>0</v>
      </c>
      <c r="S471" s="361">
        <f ca="1">F471*'Donnees d''entrée'!$C$514</f>
        <v>0</v>
      </c>
      <c r="T471" s="361">
        <f ca="1">B471*'Donnees d''entrée'!$C$515</f>
        <v>0</v>
      </c>
      <c r="U471" s="361">
        <f ca="1">D471*'Donnees d''entrée'!$C$515</f>
        <v>0</v>
      </c>
      <c r="V471" s="296">
        <f t="shared" ref="V471:V488" ca="1" si="711">B471-H471-K471-N471-Q471-T471</f>
        <v>0</v>
      </c>
      <c r="W471" s="296">
        <f t="shared" ref="W471:W488" ca="1" si="712">D471-I471-L471-O471-R471-U471</f>
        <v>0</v>
      </c>
      <c r="X471" s="296">
        <f t="shared" ref="X471:X488" ca="1" si="713">F471-J471-M471-P471-S471</f>
        <v>0</v>
      </c>
      <c r="Y471" s="488">
        <f t="shared" ref="Y471:Y488" si="714">AC158</f>
        <v>0</v>
      </c>
      <c r="Z471" s="490">
        <f>'Donnees d''entrée'!$D$541</f>
        <v>0.4</v>
      </c>
      <c r="AA471" s="490">
        <f>'Donnees d''entrée'!$D$541</f>
        <v>0.4</v>
      </c>
      <c r="AB471" s="490">
        <f>'Donnees d''entrée'!$D$525</f>
        <v>0.4</v>
      </c>
      <c r="AC471" s="296">
        <f t="shared" ref="AC471:AC489" ca="1" si="715">V471*$Y471*$Z471</f>
        <v>0</v>
      </c>
      <c r="AD471" s="296">
        <f t="shared" ref="AD471:AD489" ca="1" si="716">W471*$Y471*$AA471</f>
        <v>0</v>
      </c>
      <c r="AE471" s="296">
        <f t="shared" ref="AE471:AE489" ca="1" si="717">X471*$Y471*$AB471</f>
        <v>0</v>
      </c>
      <c r="AF471" s="296">
        <f t="shared" ca="1" si="696"/>
        <v>0</v>
      </c>
      <c r="AG471" s="296">
        <f t="shared" ca="1" si="697"/>
        <v>0</v>
      </c>
      <c r="AH471" s="296">
        <f t="shared" ca="1" si="698"/>
        <v>0</v>
      </c>
      <c r="AI471" s="487">
        <f t="shared" ref="AI471:AI489" ca="1" si="718">N446</f>
        <v>0</v>
      </c>
      <c r="AJ471" s="487">
        <f t="shared" ca="1" si="699"/>
        <v>0</v>
      </c>
      <c r="AK471" s="487">
        <f t="shared" ca="1" si="699"/>
        <v>0</v>
      </c>
      <c r="AL471" s="487">
        <f t="shared" ca="1" si="699"/>
        <v>0</v>
      </c>
      <c r="AM471" s="487">
        <f t="shared" ref="AM471:AM489" ca="1" si="719">U446</f>
        <v>0</v>
      </c>
      <c r="AN471" s="487">
        <f t="shared" ref="AN471:AN489" ca="1" si="720">AK446</f>
        <v>0</v>
      </c>
      <c r="AO471" s="487">
        <f t="shared" ref="AO471:AO489" ca="1" si="721">W446</f>
        <v>0</v>
      </c>
      <c r="AP471" s="487">
        <f t="shared" ca="1" si="700"/>
        <v>0</v>
      </c>
      <c r="AQ471" s="487">
        <f t="shared" ca="1" si="700"/>
        <v>0</v>
      </c>
      <c r="AR471" s="361">
        <f ca="1">AI471*'Donnees d''entrée'!$C$511</f>
        <v>0</v>
      </c>
      <c r="AS471" s="296">
        <f ca="1">AK471*'Donnees d''entrée'!$C$511</f>
        <v>0</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0</v>
      </c>
      <c r="AW471" s="361">
        <f ca="1">IF(ISERROR(V47*'Donnees d''entrée'!$C$674*(AN471/(AJ471+AL471+AN471))),0,V47*'Donnees d''entrée'!$C$674*(AN471/(AJ471+AL471+AN471)))</f>
        <v>0</v>
      </c>
      <c r="AX471" s="361">
        <f ca="1">AI471*'Donnees d''entrée'!$C$513</f>
        <v>0</v>
      </c>
      <c r="AY471" s="361">
        <f ca="1">AK471*'Donnees d''entrée'!$C$513</f>
        <v>0</v>
      </c>
      <c r="AZ471" s="361">
        <f ca="1">AM471*'Donnees d''entrée'!$C$514</f>
        <v>0</v>
      </c>
      <c r="BA471" s="361">
        <f ca="1">AI471*'Donnees d''entrée'!$C$515</f>
        <v>0</v>
      </c>
      <c r="BB471" s="361">
        <f ca="1">AK471*'Donnees d''entrée'!$C$515</f>
        <v>0</v>
      </c>
      <c r="BC471" s="296">
        <f t="shared" ref="BC471:BC489" ca="1" si="722">AI471-AO471-AR471-AU471-AX471-BA471</f>
        <v>0</v>
      </c>
      <c r="BD471" s="296">
        <f t="shared" ref="BD471:BD489" ca="1" si="723">AK471-AP471-AS471-AV471-AY471-BB471</f>
        <v>0</v>
      </c>
      <c r="BE471" s="296">
        <f t="shared" ref="BE471:BE489" ca="1" si="724">AM471-AQ471-AT471-AW471-AZ471</f>
        <v>0</v>
      </c>
      <c r="BF471" s="488">
        <f t="shared" ref="BF471:BF489" si="725">BJ158</f>
        <v>0</v>
      </c>
      <c r="BG471" s="296">
        <f t="shared" ref="BG471:BG489" ca="1" si="726">BC471*$BF471*$Z471</f>
        <v>0</v>
      </c>
      <c r="BH471" s="296">
        <f t="shared" ref="BH471:BH489" ca="1" si="727">BD471*$BF471*$AA471</f>
        <v>0</v>
      </c>
      <c r="BI471" s="296">
        <f t="shared" ref="BI471:BI489" ca="1" si="728">BE471*$BF471*$AB471</f>
        <v>0</v>
      </c>
      <c r="BJ471" s="296">
        <f t="shared" ref="BJ471:BJ489" ca="1" si="729">AJ471-AO471-AR471-AU471-AX471-BA471</f>
        <v>0</v>
      </c>
      <c r="BK471" s="296">
        <f t="shared" ref="BK471:BK489" ca="1" si="730">AL471-AP471-AS471-AV471-AY471-BB471</f>
        <v>0</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0</v>
      </c>
    </row>
    <row r="472" spans="1:156" x14ac:dyDescent="0.25">
      <c r="A472" s="279">
        <v>3</v>
      </c>
      <c r="B472" s="487">
        <f t="shared" ref="B472:E472" ca="1" si="788">B447</f>
        <v>0</v>
      </c>
      <c r="C472" s="487">
        <f t="shared" ca="1" si="788"/>
        <v>0</v>
      </c>
      <c r="D472" s="487">
        <f t="shared" ca="1" si="788"/>
        <v>0</v>
      </c>
      <c r="E472" s="487">
        <f t="shared" ca="1" si="788"/>
        <v>0</v>
      </c>
      <c r="F472" s="487">
        <f t="shared" ca="1" si="706"/>
        <v>0</v>
      </c>
      <c r="G472" s="487">
        <f t="shared" ca="1" si="707"/>
        <v>0</v>
      </c>
      <c r="H472" s="487">
        <f t="shared" ca="1" si="708"/>
        <v>0</v>
      </c>
      <c r="I472" s="487">
        <f t="shared" ca="1" si="709"/>
        <v>0</v>
      </c>
      <c r="J472" s="487">
        <f t="shared" ca="1" si="710"/>
        <v>0</v>
      </c>
      <c r="K472" s="361">
        <f ca="1">B472*'Donnees d''entrée'!$C$511</f>
        <v>0</v>
      </c>
      <c r="L472" s="296">
        <f ca="1">D472*'Donnees d''entrée'!$C$511</f>
        <v>0</v>
      </c>
      <c r="M472" s="296">
        <f ca="1">F472*'Donnees d''entrée'!$C$512</f>
        <v>0</v>
      </c>
      <c r="N472" s="296">
        <f ca="1">IF(ISERROR(J48*'Donnees d''entrée'!$C$674*(C472/(C472+E472+G472))),0,J48*'Donnees d''entrée'!$C$674*(C472/(C472+E472+G472)))</f>
        <v>0</v>
      </c>
      <c r="O472" s="361">
        <f ca="1">IF(ISERROR(J48*'Donnees d''entrée'!$C$674*(E472/(C472+E472+G472))),0,J48*'Donnees d''entrée'!$C$674*(E472/(C472+E472+G472)))</f>
        <v>0</v>
      </c>
      <c r="P472" s="361">
        <f ca="1">IF(ISERROR(J48*'Donnees d''entrée'!$C$674*(G472/(C472+E472+G472))),0,J48*'Donnees d''entrée'!$C$674*(G472/(C472+E472+G472)))</f>
        <v>0</v>
      </c>
      <c r="Q472" s="361">
        <f ca="1">B472*'Donnees d''entrée'!$C$513</f>
        <v>0</v>
      </c>
      <c r="R472" s="361">
        <f ca="1">D472*'Donnees d''entrée'!$C$513</f>
        <v>0</v>
      </c>
      <c r="S472" s="361">
        <f ca="1">F472*'Donnees d''entrée'!$C$514</f>
        <v>0</v>
      </c>
      <c r="T472" s="361">
        <f ca="1">B472*'Donnees d''entrée'!$C$515</f>
        <v>0</v>
      </c>
      <c r="U472" s="361">
        <f ca="1">D472*'Donnees d''entrée'!$C$515</f>
        <v>0</v>
      </c>
      <c r="V472" s="296">
        <f t="shared" ca="1" si="711"/>
        <v>0</v>
      </c>
      <c r="W472" s="296">
        <f t="shared" ca="1" si="712"/>
        <v>0</v>
      </c>
      <c r="X472" s="296">
        <f t="shared" ca="1" si="713"/>
        <v>0</v>
      </c>
      <c r="Y472" s="488">
        <f t="shared" si="714"/>
        <v>0</v>
      </c>
      <c r="Z472" s="490">
        <f>'Donnees d''entrée'!$D$541</f>
        <v>0.4</v>
      </c>
      <c r="AA472" s="490">
        <f>'Donnees d''entrée'!$D$541</f>
        <v>0.4</v>
      </c>
      <c r="AB472" s="490">
        <f>'Donnees d''entrée'!$D$525</f>
        <v>0.4</v>
      </c>
      <c r="AC472" s="296">
        <f t="shared" ca="1" si="715"/>
        <v>0</v>
      </c>
      <c r="AD472" s="296">
        <f t="shared" ca="1" si="716"/>
        <v>0</v>
      </c>
      <c r="AE472" s="296">
        <f t="shared" ca="1" si="717"/>
        <v>0</v>
      </c>
      <c r="AF472" s="296">
        <f t="shared" ca="1" si="696"/>
        <v>0</v>
      </c>
      <c r="AG472" s="296">
        <f t="shared" ca="1" si="697"/>
        <v>0</v>
      </c>
      <c r="AH472" s="296">
        <f t="shared" ca="1" si="698"/>
        <v>0</v>
      </c>
      <c r="AI472" s="487">
        <f t="shared" ca="1" si="718"/>
        <v>0</v>
      </c>
      <c r="AJ472" s="487">
        <f t="shared" ca="1" si="699"/>
        <v>0</v>
      </c>
      <c r="AK472" s="487">
        <f t="shared" ca="1" si="699"/>
        <v>0</v>
      </c>
      <c r="AL472" s="487">
        <f t="shared" ca="1" si="699"/>
        <v>0</v>
      </c>
      <c r="AM472" s="487">
        <f t="shared" ca="1" si="719"/>
        <v>0</v>
      </c>
      <c r="AN472" s="487">
        <f t="shared" ca="1" si="720"/>
        <v>0</v>
      </c>
      <c r="AO472" s="487">
        <f t="shared" ca="1" si="721"/>
        <v>0</v>
      </c>
      <c r="AP472" s="487">
        <f t="shared" ca="1" si="700"/>
        <v>0</v>
      </c>
      <c r="AQ472" s="487">
        <f t="shared" ca="1" si="700"/>
        <v>0</v>
      </c>
      <c r="AR472" s="361">
        <f ca="1">AI472*'Donnees d''entrée'!$C$511</f>
        <v>0</v>
      </c>
      <c r="AS472" s="296">
        <f ca="1">AK472*'Donnees d''entrée'!$C$511</f>
        <v>0</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0</v>
      </c>
      <c r="AW472" s="361">
        <f ca="1">IF(ISERROR(V48*'Donnees d''entrée'!$C$674*(AN472/(AJ472+AL472+AN472))),0,V48*'Donnees d''entrée'!$C$674*(AN472/(AJ472+AL472+AN472)))</f>
        <v>0</v>
      </c>
      <c r="AX472" s="361">
        <f ca="1">AI472*'Donnees d''entrée'!$C$513</f>
        <v>0</v>
      </c>
      <c r="AY472" s="361">
        <f ca="1">AK472*'Donnees d''entrée'!$C$513</f>
        <v>0</v>
      </c>
      <c r="AZ472" s="361">
        <f ca="1">AM472*'Donnees d''entrée'!$C$514</f>
        <v>0</v>
      </c>
      <c r="BA472" s="361">
        <f ca="1">AI472*'Donnees d''entrée'!$C$515</f>
        <v>0</v>
      </c>
      <c r="BB472" s="361">
        <f ca="1">AK472*'Donnees d''entrée'!$C$515</f>
        <v>0</v>
      </c>
      <c r="BC472" s="296">
        <f t="shared" ca="1" si="722"/>
        <v>0</v>
      </c>
      <c r="BD472" s="296">
        <f t="shared" ca="1" si="723"/>
        <v>0</v>
      </c>
      <c r="BE472" s="296">
        <f t="shared" ca="1" si="724"/>
        <v>0</v>
      </c>
      <c r="BF472" s="488">
        <f t="shared" si="725"/>
        <v>0</v>
      </c>
      <c r="BG472" s="296">
        <f t="shared" ca="1" si="726"/>
        <v>0</v>
      </c>
      <c r="BH472" s="296">
        <f t="shared" ca="1" si="727"/>
        <v>0</v>
      </c>
      <c r="BI472" s="296">
        <f t="shared" ca="1" si="728"/>
        <v>0</v>
      </c>
      <c r="BJ472" s="296">
        <f t="shared" ca="1" si="729"/>
        <v>0</v>
      </c>
      <c r="BK472" s="296">
        <f t="shared" ca="1" si="730"/>
        <v>0</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0</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58" t="s">
        <v>318</v>
      </c>
      <c r="C491" s="558"/>
      <c r="D491" s="558"/>
      <c r="E491" s="308">
        <f ca="1">SUM(EZ470:EZ489)</f>
        <v>645.76467745796162</v>
      </c>
      <c r="F491" s="309" t="s">
        <v>106</v>
      </c>
    </row>
    <row r="495" spans="1:156" x14ac:dyDescent="0.25">
      <c r="A495" s="153" t="s">
        <v>935</v>
      </c>
    </row>
    <row r="498" spans="1:32" x14ac:dyDescent="0.25">
      <c r="F498" s="560" t="s">
        <v>937</v>
      </c>
      <c r="G498" s="560"/>
      <c r="H498" s="560"/>
      <c r="I498" s="560"/>
      <c r="J498" s="560" t="s">
        <v>938</v>
      </c>
      <c r="K498" s="560"/>
      <c r="L498" s="560"/>
      <c r="M498" s="560"/>
      <c r="N498" s="560" t="s">
        <v>939</v>
      </c>
      <c r="O498" s="560"/>
      <c r="P498" s="560"/>
      <c r="Q498" s="560"/>
      <c r="R498" s="560" t="s">
        <v>940</v>
      </c>
      <c r="S498" s="560"/>
      <c r="T498" s="560"/>
      <c r="U498" s="560"/>
      <c r="V498" s="560" t="s">
        <v>941</v>
      </c>
      <c r="W498" s="560"/>
      <c r="X498" s="560"/>
      <c r="Y498" s="560"/>
      <c r="AA498" s="564" t="s">
        <v>942</v>
      </c>
      <c r="AB498" s="564" t="s">
        <v>943</v>
      </c>
      <c r="AC498" s="564" t="s">
        <v>944</v>
      </c>
      <c r="AD498" s="564" t="s">
        <v>945</v>
      </c>
      <c r="AF498" s="564"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4"/>
      <c r="AB499" s="564"/>
      <c r="AC499" s="564"/>
      <c r="AD499" s="564"/>
      <c r="AF499" s="564"/>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29830.391333399049</v>
      </c>
      <c r="H500" s="361">
        <f t="shared" ca="1" si="826"/>
        <v>0</v>
      </c>
      <c r="I500" s="361">
        <f>SUM(I268:I287)</f>
        <v>0</v>
      </c>
      <c r="J500" s="361">
        <f ca="1">SUM(P268:P287)</f>
        <v>0</v>
      </c>
      <c r="K500" s="361">
        <f t="shared" ref="K500:M500" ca="1" si="827">SUM(Q268:Q287)</f>
        <v>0</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447.45587000098573</v>
      </c>
      <c r="AC500" s="340">
        <f t="shared" ca="1" si="831"/>
        <v>0</v>
      </c>
      <c r="AD500" s="340">
        <f>E500*(I500+M500+Q500+U500+Y500)</f>
        <v>0</v>
      </c>
      <c r="AF500" s="340">
        <f ca="1">SUM(AA500:AD500)</f>
        <v>447.45587000098573</v>
      </c>
    </row>
    <row r="502" spans="1:32" ht="26.25" x14ac:dyDescent="0.4">
      <c r="B502" s="558" t="s">
        <v>348</v>
      </c>
      <c r="C502" s="558"/>
      <c r="D502" s="558"/>
      <c r="E502" s="308">
        <f ca="1">IF(ISERROR(AF500),0,AF500)</f>
        <v>447.45587000098573</v>
      </c>
      <c r="F502" s="309" t="s">
        <v>349</v>
      </c>
    </row>
    <row r="505" spans="1:32" x14ac:dyDescent="0.25">
      <c r="A505" s="153" t="s">
        <v>946</v>
      </c>
    </row>
    <row r="508" spans="1:32" ht="26.25" x14ac:dyDescent="0.4">
      <c r="B508" s="558" t="s">
        <v>356</v>
      </c>
      <c r="C508" s="558"/>
      <c r="D508" s="558"/>
      <c r="E508" s="308">
        <f>SUM(AH320:AH339)</f>
        <v>1355.341617637795</v>
      </c>
      <c r="F508" s="309" t="s">
        <v>357</v>
      </c>
    </row>
    <row r="510" spans="1:32" ht="26.25" x14ac:dyDescent="0.4">
      <c r="B510" s="558" t="s">
        <v>431</v>
      </c>
      <c r="C510" s="558"/>
      <c r="D510" s="558"/>
      <c r="E510" s="308">
        <f>SUM(AH350:AH369)</f>
        <v>677.67080881889751</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6941.3177987999998</v>
      </c>
      <c r="C517" s="492">
        <f t="shared" ref="C517" si="832">D401</f>
        <v>0</v>
      </c>
      <c r="D517" s="489">
        <f ca="1">SUM(N470:P489)+SUM(AU470:AW489)+SUM(BY470:CA489)+SUM(DC470:DE489)+SUM(EG470:EI489)</f>
        <v>6.9413177988000001</v>
      </c>
      <c r="E517" s="489">
        <f ca="1">SUM(AF470:AH489)+SUM(BJ470:BL489)+SUM(CN470:CP489)+SUM(DR470:DT489)+SUM(EV470:EX489)</f>
        <v>5538.1198886244001</v>
      </c>
      <c r="F517" s="317">
        <f>'Donnees d''entrée'!$C$676</f>
        <v>0.01</v>
      </c>
      <c r="G517" s="317">
        <f>'Donnees d''entrée'!$C$677</f>
        <v>0.02</v>
      </c>
      <c r="H517" s="361">
        <f ca="1">E517*F517+C517*G517</f>
        <v>55.381198886244</v>
      </c>
      <c r="I517" s="361">
        <f ca="1">D517+H517</f>
        <v>62.322516685044</v>
      </c>
      <c r="J517" s="493">
        <f ca="1">E440+E466+SUM(K470:M489)+SUM(AR470:AT489)+SUM(BV470:BX489)+SUM(CZ470:DB489)+SUM(ED470:EF489)</f>
        <v>2186.0733863984397</v>
      </c>
      <c r="K517" s="361">
        <f ca="1">E491+E227+(E517+C517)*'Donnees d''entrée'!$C$682/100</f>
        <v>667.91715701245926</v>
      </c>
      <c r="L517" s="317">
        <f>'Donnees d''entrée'!$C$679</f>
        <v>0.01</v>
      </c>
      <c r="M517" s="361">
        <f ca="1">SUM(T470:U489)+SUM(BA470:BB489)+SUM(CE470:CF489)+SUM(DI470:DJ489)+SUM(EM470:EN489)+(E517+C517)*'Donnees d''entrée'!$C$684</f>
        <v>2397.3418590382798</v>
      </c>
      <c r="N517" s="317">
        <f>'Donnees d''entrée'!$C$680</f>
        <v>7.4999999999999997E-3</v>
      </c>
      <c r="O517" s="361">
        <f ca="1">(J517+K517)*L517</f>
        <v>28.539905434108988</v>
      </c>
      <c r="P517" s="361">
        <f ca="1">M517*N517</f>
        <v>17.980063942787098</v>
      </c>
      <c r="Q517" s="361">
        <f ca="1">O517+P517</f>
        <v>46.519969376896086</v>
      </c>
      <c r="R517" s="361">
        <f ca="1">Q517+I517</f>
        <v>108.84248606194009</v>
      </c>
    </row>
    <row r="519" spans="1:18" ht="26.25" x14ac:dyDescent="0.4">
      <c r="B519" s="559" t="s">
        <v>367</v>
      </c>
      <c r="C519" s="559"/>
      <c r="D519" s="559"/>
      <c r="E519" s="324">
        <f ca="1">R517</f>
        <v>108.84248606194009</v>
      </c>
      <c r="F519" s="309" t="s">
        <v>368</v>
      </c>
    </row>
    <row r="521" spans="1:18" ht="26.25" x14ac:dyDescent="0.4">
      <c r="B521" s="559" t="s">
        <v>369</v>
      </c>
      <c r="C521" s="559"/>
      <c r="D521" s="559"/>
      <c r="E521" s="324">
        <f ca="1">IF(ISERROR(E519*44/28),0,E519*44/28)</f>
        <v>171.03819238304871</v>
      </c>
      <c r="F521" s="309" t="s">
        <v>370</v>
      </c>
    </row>
    <row r="522" spans="1:18" x14ac:dyDescent="0.25">
      <c r="B522"/>
      <c r="C522"/>
      <c r="D522"/>
      <c r="E522"/>
      <c r="F522"/>
    </row>
  </sheetData>
  <mergeCells count="164">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AM125:BD125"/>
    <mergeCell ref="BE125:BV125"/>
    <mergeCell ref="BW125:CN125"/>
    <mergeCell ref="CQ125:CQ126"/>
    <mergeCell ref="C155:AI155"/>
    <mergeCell ref="AJ99:AK99"/>
    <mergeCell ref="AL99:AM99"/>
    <mergeCell ref="AN99:AO99"/>
    <mergeCell ref="AP99:BA99"/>
    <mergeCell ref="W99:W100"/>
    <mergeCell ref="X99:AI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BL44:BO44"/>
    <mergeCell ref="A1:C1"/>
    <mergeCell ref="D44:O44"/>
    <mergeCell ref="P44:AA44"/>
    <mergeCell ref="AB44:AM44"/>
    <mergeCell ref="AB17:AI17"/>
    <mergeCell ref="AJ17:AQ17"/>
    <mergeCell ref="AN44:AY44"/>
    <mergeCell ref="AZ44:BK44"/>
    <mergeCell ref="D17:K17"/>
    <mergeCell ref="T17:AA17"/>
    <mergeCell ref="L17:S17"/>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440:D440"/>
    <mergeCell ref="B417:D417"/>
    <mergeCell ref="E417:G417"/>
    <mergeCell ref="H417:J417"/>
    <mergeCell ref="K417:M417"/>
    <mergeCell ref="N417:P417"/>
    <mergeCell ref="R417:R418"/>
    <mergeCell ref="X348:AB348"/>
    <mergeCell ref="AC348:AG348"/>
    <mergeCell ref="T417:T418"/>
    <mergeCell ref="B443:M443"/>
    <mergeCell ref="N443:Y443"/>
    <mergeCell ref="Z443:AK443"/>
    <mergeCell ref="AL443:AW443"/>
    <mergeCell ref="AX443:BI443"/>
    <mergeCell ref="BK443:BK444"/>
    <mergeCell ref="B466:D466"/>
    <mergeCell ref="AI468:BL468"/>
    <mergeCell ref="BM468:CP468"/>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dimension ref="A1:AA91"/>
  <sheetViews>
    <sheetView showGridLines="0" tabSelected="1" topLeftCell="A4" zoomScale="80" zoomScaleNormal="80" workbookViewId="0">
      <selection activeCell="C9" sqref="C9"/>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96" t="s">
        <v>949</v>
      </c>
      <c r="D3" s="596" t="s">
        <v>950</v>
      </c>
      <c r="E3" s="596" t="s">
        <v>951</v>
      </c>
      <c r="F3" s="596" t="s">
        <v>952</v>
      </c>
      <c r="G3" s="596" t="s">
        <v>953</v>
      </c>
      <c r="M3" s="596" t="s">
        <v>949</v>
      </c>
      <c r="N3" s="596" t="s">
        <v>950</v>
      </c>
      <c r="O3" s="596" t="s">
        <v>951</v>
      </c>
      <c r="P3" s="596" t="s">
        <v>952</v>
      </c>
      <c r="Q3" s="596" t="s">
        <v>953</v>
      </c>
    </row>
    <row r="4" spans="1:17" ht="75" customHeight="1" x14ac:dyDescent="0.25">
      <c r="B4" s="72"/>
      <c r="C4" s="597"/>
      <c r="D4" s="598"/>
      <c r="E4" s="598"/>
      <c r="F4" s="598"/>
      <c r="G4" s="598"/>
      <c r="M4" s="597"/>
      <c r="N4" s="598"/>
      <c r="O4" s="598"/>
      <c r="P4" s="598"/>
      <c r="Q4" s="598"/>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1180.0240257959997</v>
      </c>
      <c r="D6" s="588"/>
      <c r="E6" s="588"/>
      <c r="F6" s="588"/>
      <c r="G6" s="588"/>
      <c r="J6" s="254"/>
      <c r="K6" s="254"/>
      <c r="M6" s="507">
        <f ca="1">Emissions!$E$440*17/14</f>
        <v>1314.1176650909999</v>
      </c>
      <c r="N6" s="588"/>
      <c r="O6" s="588"/>
      <c r="P6" s="588"/>
      <c r="Q6" s="588"/>
    </row>
    <row r="7" spans="1:17" x14ac:dyDescent="0.25">
      <c r="B7" s="200" t="s">
        <v>410</v>
      </c>
      <c r="C7" s="507">
        <f ca="1">Emissions!$E$150*17/14</f>
        <v>802.41633754128009</v>
      </c>
      <c r="D7" s="589"/>
      <c r="E7" s="589"/>
      <c r="F7" s="589"/>
      <c r="G7" s="589"/>
      <c r="M7" s="507">
        <f ca="1">Emissions!$E$466*17/14</f>
        <v>1265.93335070433</v>
      </c>
      <c r="N7" s="589"/>
      <c r="O7" s="589"/>
      <c r="P7" s="589"/>
      <c r="Q7" s="589"/>
    </row>
    <row r="8" spans="1:17" x14ac:dyDescent="0.25">
      <c r="B8" s="200" t="s">
        <v>492</v>
      </c>
      <c r="C8" s="507">
        <f ca="1">Emissions!$E$195*17/14</f>
        <v>496.21696033330085</v>
      </c>
      <c r="D8" s="589"/>
      <c r="E8" s="589"/>
      <c r="F8" s="589"/>
      <c r="G8" s="589"/>
      <c r="M8" s="507">
        <f ca="1">Emissions!$E$491*17/14</f>
        <v>784.14282262752488</v>
      </c>
      <c r="N8" s="589"/>
      <c r="O8" s="589"/>
      <c r="P8" s="589"/>
      <c r="Q8" s="589"/>
    </row>
    <row r="9" spans="1:17" x14ac:dyDescent="0.25">
      <c r="B9" s="200" t="s">
        <v>499</v>
      </c>
      <c r="C9" s="507">
        <f>Emissions!$E$196*17/14</f>
        <v>0</v>
      </c>
      <c r="D9" s="589"/>
      <c r="E9" s="589"/>
      <c r="F9" s="589"/>
      <c r="G9" s="589"/>
      <c r="M9" s="594"/>
      <c r="N9" s="589"/>
      <c r="O9" s="589"/>
      <c r="P9" s="589"/>
      <c r="Q9" s="589"/>
    </row>
    <row r="10" spans="1:17" s="204" customFormat="1" x14ac:dyDescent="0.25">
      <c r="B10" s="220" t="s">
        <v>500</v>
      </c>
      <c r="C10" s="511">
        <f>Emissions!$E$197*17/14</f>
        <v>0</v>
      </c>
      <c r="D10" s="589"/>
      <c r="E10" s="589"/>
      <c r="F10" s="589"/>
      <c r="G10" s="589"/>
      <c r="M10" s="595"/>
      <c r="N10" s="589"/>
      <c r="O10" s="589"/>
      <c r="P10" s="589"/>
      <c r="Q10" s="589"/>
    </row>
    <row r="11" spans="1:17" s="204" customFormat="1" ht="15.75" thickBot="1" x14ac:dyDescent="0.3">
      <c r="B11" s="220" t="s">
        <v>120</v>
      </c>
      <c r="C11" s="508">
        <f>Emissions!$E$227*17/14</f>
        <v>0</v>
      </c>
      <c r="D11" s="589"/>
      <c r="E11" s="589"/>
      <c r="F11" s="589"/>
      <c r="G11" s="589"/>
      <c r="M11" s="508">
        <f>Emissions!$E$227*17/14</f>
        <v>0</v>
      </c>
      <c r="N11" s="589"/>
      <c r="O11" s="589"/>
      <c r="P11" s="589"/>
      <c r="Q11" s="589"/>
    </row>
    <row r="12" spans="1:17" ht="45" customHeight="1" thickBot="1" x14ac:dyDescent="0.3">
      <c r="B12" s="221" t="s">
        <v>501</v>
      </c>
      <c r="C12" s="509">
        <f ca="1">Emissions!$K$230</f>
        <v>2478.6573236705808</v>
      </c>
      <c r="D12" s="509">
        <f ca="1">Emissions!$E$408</f>
        <v>119.20452974450106</v>
      </c>
      <c r="E12" s="509">
        <f ca="1">Emissions!$E$312</f>
        <v>447.45587000098573</v>
      </c>
      <c r="F12" s="509">
        <f>Emissions!$E$342</f>
        <v>1355.341617637795</v>
      </c>
      <c r="G12" s="510">
        <f>Emissions!$E$372</f>
        <v>677.67080881889751</v>
      </c>
      <c r="M12" s="509">
        <f ca="1">SUM(M6:M11)</f>
        <v>3364.1938384228547</v>
      </c>
      <c r="N12" s="509">
        <f ca="1">Emissions!$E$521</f>
        <v>171.03819238304871</v>
      </c>
      <c r="O12" s="509">
        <f ca="1">Emissions!$E$502</f>
        <v>447.45587000098573</v>
      </c>
      <c r="P12" s="509">
        <f>Emissions!$E$508</f>
        <v>1355.341617637795</v>
      </c>
      <c r="Q12" s="510">
        <f>Emissions!$E$510</f>
        <v>677.67080881889751</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99" t="s">
        <v>757</v>
      </c>
      <c r="N20" s="599"/>
      <c r="O20" s="599"/>
      <c r="P20" s="599" t="s">
        <v>758</v>
      </c>
      <c r="Q20" s="599"/>
      <c r="R20" s="599"/>
      <c r="S20" s="599" t="s">
        <v>759</v>
      </c>
      <c r="T20" s="599"/>
      <c r="U20" s="599"/>
      <c r="V20" s="599" t="s">
        <v>760</v>
      </c>
      <c r="W20" s="599"/>
      <c r="X20" s="599"/>
      <c r="Y20" s="599" t="s">
        <v>761</v>
      </c>
      <c r="Z20" s="599"/>
      <c r="AA20" s="599"/>
    </row>
    <row r="21" spans="1:27" ht="72" customHeight="1" x14ac:dyDescent="0.25">
      <c r="B21" s="223" t="s">
        <v>16</v>
      </c>
      <c r="C21" s="227" t="s">
        <v>505</v>
      </c>
      <c r="D21" s="222" t="s">
        <v>506</v>
      </c>
      <c r="E21" s="222" t="s">
        <v>507</v>
      </c>
      <c r="F21" s="222" t="s">
        <v>508</v>
      </c>
      <c r="G21" s="222" t="s">
        <v>509</v>
      </c>
      <c r="H21" s="494"/>
      <c r="I21" s="590" t="s">
        <v>913</v>
      </c>
      <c r="J21" s="591"/>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v>
      </c>
      <c r="C22" s="503">
        <f>IF(ISERROR(ROUNDDOWN(IF(Emissions!E19="Poules_pondeuses",Emissions!T72/Emissions!G19*17/14,Emissions!T72/(Emissions!C19*Emissions!G19)*17/14),2)),"",ROUNDDOWN(IF(Emissions!E19="Poules_pondeuses",Emissions!T72/Emissions!G19*17/14,Emissions!T72/(Emissions!C19*Emissions!G19)*17/14),2))</f>
        <v>0.04</v>
      </c>
      <c r="D22" s="503" t="str">
        <f>IF(ISERROR(ROUNDDOWN(IF(Emissions!M19="Poules_pondeuses",Emissions!AA72/Emissions!O19*17/14,Emissions!AA72/(Emissions!C19*Emissions!O19)*17/14),2)),"",ROUNDDOWN(IF(Emissions!M19="Poules_pondeuses",Emissions!AA72/Emissions!O19*17/14,Emissions!AA72/(Emissions!C19*Emissions!O19)*17/14),2))</f>
        <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92">
        <f>IF(ISERROR(Emissions!BL46),"",Emissions!BL46)</f>
        <v>6941.3177987999998</v>
      </c>
      <c r="J22" s="593"/>
      <c r="M22" s="496"/>
      <c r="N22" s="496"/>
      <c r="O22" s="497" t="e">
        <f>IF(Emissions!E19="Poules_pondeuses",VLOOKUP(M22,'Donnees d''entrée'!$B$692:$C$694,2,FALSE),IF(Exploitation!C40="Poulets_de_chair",VLOOKUP(N22,'Donnees d''entrée'!$B$700:$C$701,2,FALSE),0))</f>
        <v>#N/A</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
      </c>
      <c r="C23" s="503" t="str">
        <f>IF(ISERROR(ROUNDDOWN(IF(Emissions!E20="Poules_pondeuses",Emissions!T73/Emissions!G20*17/14,Emissions!T73/(Emissions!C20*Emissions!G20)*17/14),2)),"",ROUNDDOWN(IF(Emissions!E20="Poules_pondeuses",Emissions!T73/Emissions!G20*17/14,Emissions!T73/(Emissions!C20*Emissions!G20)*17/14),2))</f>
        <v/>
      </c>
      <c r="D23" s="503" t="str">
        <f>IF(ISERROR(ROUNDDOWN(IF(Emissions!M20="Poules_pondeuses",Emissions!AA73/Emissions!O20*17/14,Emissions!AA73/(Emissions!C20*Emissions!O20)*17/14),2)),"",ROUNDDOWN(IF(Emissions!M20="Poules_pondeuses",Emissions!AA73/Emissions!O20*17/14,Emissions!AA73/(Emissions!C20*Emissions!O20)*17/14),2))</f>
        <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92">
        <f>IF(ISERROR(Emissions!BL47),"",Emissions!BL47)</f>
        <v>0</v>
      </c>
      <c r="J23" s="593"/>
      <c r="M23" s="496"/>
      <c r="N23" s="496"/>
      <c r="O23" s="497">
        <f>IF(Emissions!E20="Poules_pondeuses",VLOOKUP(M23,'Donnees d''entrée'!$B$692:$C$694,2,FALSE),IF(Exploitation!C41="Poulets_de_chair",VLOOKUP(N23,'Donnees d''entrée'!$B$700:$C$701,2,FALSE),0))</f>
        <v>0</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
      </c>
      <c r="C24" s="503" t="str">
        <f>IF(ISERROR(ROUNDDOWN(IF(Emissions!E21="Poules_pondeuses",Emissions!T74/Emissions!G21*17/14,Emissions!T74/(Emissions!C21*Emissions!G21)*17/14),2)),"",ROUNDDOWN(IF(Emissions!E21="Poules_pondeuses",Emissions!T74/Emissions!G21*17/14,Emissions!T74/(Emissions!C21*Emissions!G21)*17/14),2))</f>
        <v/>
      </c>
      <c r="D24" s="503" t="str">
        <f>IF(ISERROR(ROUNDDOWN(IF(Emissions!M21="Poules_pondeuses",Emissions!AA74/Emissions!O21*17/14,Emissions!AA74/(Emissions!C21*Emissions!O21)*17/14),2)),"",ROUNDDOWN(IF(Emissions!M21="Poules_pondeuses",Emissions!AA74/Emissions!O21*17/14,Emissions!AA74/(Emissions!C21*Emissions!O21)*17/14),2))</f>
        <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92">
        <f>IF(ISERROR(Emissions!BL48),"",Emissions!BL48)</f>
        <v>0</v>
      </c>
      <c r="J24" s="593"/>
      <c r="M24" s="496"/>
      <c r="N24" s="496"/>
      <c r="O24" s="497">
        <f>IF(Emissions!E21="Poules_pondeuses",VLOOKUP(M24,'Donnees d''entrée'!$B$692:$C$694,2,FALSE),IF(Exploitation!C42="Poulets_de_chair",VLOOKUP(N24,'Donnees d''entrée'!$B$700:$C$701,2,FALSE),0))</f>
        <v>0</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92">
        <f>IF(ISERROR(Emissions!BL49),"",Emissions!BL49)</f>
        <v>0</v>
      </c>
      <c r="J25" s="593"/>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92">
        <f>IF(ISERROR(Emissions!BL50),"",Emissions!BL50)</f>
        <v>0</v>
      </c>
      <c r="J26" s="593"/>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92">
        <f>IF(ISERROR(Emissions!BL51),"",Emissions!BL51)</f>
        <v>0</v>
      </c>
      <c r="J27" s="593"/>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92">
        <f>IF(ISERROR(Emissions!BL52),"",Emissions!BL52)</f>
        <v>0</v>
      </c>
      <c r="J28" s="593"/>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92">
        <f>IF(ISERROR(Emissions!BL53),"",Emissions!BL53)</f>
        <v>0</v>
      </c>
      <c r="J29" s="593"/>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92">
        <f>IF(ISERROR(Emissions!BL54),"",Emissions!BL54)</f>
        <v>0</v>
      </c>
      <c r="J30" s="593"/>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92">
        <f>IF(ISERROR(Emissions!BL55),"",Emissions!BL55)</f>
        <v>0</v>
      </c>
      <c r="J31" s="593"/>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92">
        <f>IF(ISERROR(Emissions!BL56),"",Emissions!BL56)</f>
        <v>0</v>
      </c>
      <c r="J32" s="593"/>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92">
        <f>IF(ISERROR(Emissions!BL57),"",Emissions!BL57)</f>
        <v>0</v>
      </c>
      <c r="J33" s="593"/>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92">
        <f>IF(ISERROR(Emissions!BL58),"",Emissions!BL58)</f>
        <v>0</v>
      </c>
      <c r="J34" s="593"/>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92">
        <f>IF(ISERROR(Emissions!BL59),"",Emissions!BL59)</f>
        <v>0</v>
      </c>
      <c r="J35" s="593"/>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92">
        <f>IF(ISERROR(Emissions!BL60),"",Emissions!BL60)</f>
        <v>0</v>
      </c>
      <c r="J36" s="593"/>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92">
        <f>IF(ISERROR(Emissions!BL61),"",Emissions!BL61)</f>
        <v>0</v>
      </c>
      <c r="J37" s="593"/>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92">
        <f>IF(ISERROR(Emissions!BL62),"",Emissions!BL62)</f>
        <v>0</v>
      </c>
      <c r="J38" s="593"/>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92">
        <f>IF(ISERROR(Emissions!BL63),"",Emissions!BL63)</f>
        <v>0</v>
      </c>
      <c r="J39" s="593"/>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92">
        <f>IF(ISERROR(Emissions!BL64),"",Emissions!BL64)</f>
        <v>0</v>
      </c>
      <c r="J40" s="593"/>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92">
        <f>IF(ISERROR(Emissions!BL65),"",Emissions!BL65)</f>
        <v>0</v>
      </c>
      <c r="J41" s="593"/>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87" t="s">
        <v>922</v>
      </c>
      <c r="J46" s="587"/>
      <c r="M46"/>
      <c r="N46"/>
      <c r="O46"/>
      <c r="P46"/>
      <c r="Q46"/>
      <c r="R46"/>
    </row>
    <row r="47" spans="1:27" s="204" customFormat="1" x14ac:dyDescent="0.25">
      <c r="B47" s="70" t="str">
        <f>IF(Exploitation!B40="","",Exploitation!B40)</f>
        <v>P1</v>
      </c>
      <c r="C47" s="505">
        <f>IF(ISERROR(Emissions!T72*17/14),"",Emissions!T72*17/14)</f>
        <v>1180.0240257959997</v>
      </c>
      <c r="D47" s="505" t="str">
        <f>IF(ISERROR(Emissions!AA72*17/14),"",Emissions!AA72*17/14)</f>
        <v/>
      </c>
      <c r="E47" s="505" t="str">
        <f>IF(ISERROR(Emissions!AH72*17/14),"",Emissions!AH72*17/14)</f>
        <v/>
      </c>
      <c r="F47" s="505" t="str">
        <f>IF(ISERROR(Emissions!AO72*17/14),"",Emissions!AO72*17/14)</f>
        <v/>
      </c>
      <c r="G47" s="505" t="str">
        <f>IF(ISERROR(Emissions!AV72*17/14),"",Emissions!AV72*17/14)</f>
        <v/>
      </c>
      <c r="H47" s="506"/>
      <c r="I47" s="586">
        <f>SUM(C47:G47)</f>
        <v>1180.0240257959997</v>
      </c>
      <c r="J47" s="586"/>
      <c r="M47"/>
      <c r="N47"/>
      <c r="O47"/>
      <c r="P47"/>
      <c r="Q47"/>
      <c r="R47"/>
    </row>
    <row r="48" spans="1:27" s="204" customFormat="1" x14ac:dyDescent="0.25">
      <c r="B48" s="226" t="str">
        <f>IF(Exploitation!B41="","",Exploitation!B41)</f>
        <v/>
      </c>
      <c r="C48" s="505" t="str">
        <f>IF(ISERROR(Emissions!T73*17/14),"",Emissions!T73*17/14)</f>
        <v/>
      </c>
      <c r="D48" s="505" t="str">
        <f>IF(ISERROR(Emissions!AA73*17/14),"",Emissions!AA73*17/14)</f>
        <v/>
      </c>
      <c r="E48" s="505" t="str">
        <f>IF(ISERROR(Emissions!AH73*17/14),"",Emissions!AH73*17/14)</f>
        <v/>
      </c>
      <c r="F48" s="505" t="str">
        <f>IF(ISERROR(Emissions!AO73*17/14),"",Emissions!AO73*17/14)</f>
        <v/>
      </c>
      <c r="G48" s="505" t="str">
        <f>IF(ISERROR(Emissions!AV73*17/14),"",Emissions!AV73*17/14)</f>
        <v/>
      </c>
      <c r="H48" s="506"/>
      <c r="I48" s="586">
        <f t="shared" ref="I48:I66" si="0">SUM(C48:G48)</f>
        <v>0</v>
      </c>
      <c r="J48" s="586"/>
      <c r="M48"/>
      <c r="N48"/>
      <c r="O48"/>
      <c r="P48"/>
      <c r="Q48"/>
      <c r="R48"/>
    </row>
    <row r="49" spans="2:18" s="204" customFormat="1" x14ac:dyDescent="0.25">
      <c r="B49" s="226" t="str">
        <f>IF(Exploitation!B42="","",Exploitation!B42)</f>
        <v/>
      </c>
      <c r="C49" s="505" t="str">
        <f>IF(ISERROR(Emissions!T74*17/14),"",Emissions!T74*17/14)</f>
        <v/>
      </c>
      <c r="D49" s="505" t="str">
        <f>IF(ISERROR(Emissions!AA74*17/14),"",Emissions!AA74*17/14)</f>
        <v/>
      </c>
      <c r="E49" s="505" t="str">
        <f>IF(ISERROR(Emissions!AH74*17/14),"",Emissions!AH74*17/14)</f>
        <v/>
      </c>
      <c r="F49" s="505" t="str">
        <f>IF(ISERROR(Emissions!AO74*17/14),"",Emissions!AO74*17/14)</f>
        <v/>
      </c>
      <c r="G49" s="505" t="str">
        <f>IF(ISERROR(Emissions!AV74*17/14),"",Emissions!AV74*17/14)</f>
        <v/>
      </c>
      <c r="H49" s="506"/>
      <c r="I49" s="586">
        <f t="shared" si="0"/>
        <v>0</v>
      </c>
      <c r="J49" s="586"/>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86">
        <f t="shared" si="0"/>
        <v>0</v>
      </c>
      <c r="J50" s="586"/>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86">
        <f t="shared" si="0"/>
        <v>0</v>
      </c>
      <c r="J51" s="586"/>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86">
        <f t="shared" si="0"/>
        <v>0</v>
      </c>
      <c r="J52" s="586"/>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86">
        <f t="shared" si="0"/>
        <v>0</v>
      </c>
      <c r="J53" s="586"/>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86">
        <f t="shared" si="0"/>
        <v>0</v>
      </c>
      <c r="J54" s="586"/>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86">
        <f t="shared" si="0"/>
        <v>0</v>
      </c>
      <c r="J55" s="586"/>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86">
        <f t="shared" si="0"/>
        <v>0</v>
      </c>
      <c r="J56" s="586"/>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86">
        <f t="shared" si="0"/>
        <v>0</v>
      </c>
      <c r="J57" s="586"/>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86">
        <f t="shared" si="0"/>
        <v>0</v>
      </c>
      <c r="J58" s="586"/>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86">
        <f t="shared" si="0"/>
        <v>0</v>
      </c>
      <c r="J59" s="586"/>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86">
        <f t="shared" si="0"/>
        <v>0</v>
      </c>
      <c r="J60" s="586"/>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86">
        <f t="shared" si="0"/>
        <v>0</v>
      </c>
      <c r="J61" s="586"/>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86">
        <f t="shared" si="0"/>
        <v>0</v>
      </c>
      <c r="J62" s="586"/>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86">
        <f t="shared" si="0"/>
        <v>0</v>
      </c>
      <c r="J63" s="586"/>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86">
        <f t="shared" si="0"/>
        <v>0</v>
      </c>
      <c r="J64" s="586"/>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86">
        <f t="shared" si="0"/>
        <v>0</v>
      </c>
      <c r="J65" s="586"/>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86">
        <f t="shared" si="0"/>
        <v>0</v>
      </c>
      <c r="J66" s="586"/>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v>
      </c>
      <c r="C72" s="428">
        <f>IF(Emissions!D19="Poulets_de_chair",Emissions!H19/Emissions!I19-1,"")</f>
        <v>0.18110236220472453</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
      </c>
      <c r="C73" s="428" t="str">
        <f>IF(Emissions!D20="Poulets_de_chair",Emissions!H20/Emissions!I20-1,"")</f>
        <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
      </c>
      <c r="C74" s="428" t="str">
        <f>IF(Emissions!D21="Poulets_de_chair",Emissions!H21/Emissions!I21-1,"")</f>
        <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M20:O20"/>
    <mergeCell ref="P20:R20"/>
    <mergeCell ref="S20:U20"/>
    <mergeCell ref="V20:X20"/>
    <mergeCell ref="Y20:AA20"/>
    <mergeCell ref="I32:J32"/>
    <mergeCell ref="I33:J33"/>
    <mergeCell ref="I34:J34"/>
    <mergeCell ref="I35:J35"/>
    <mergeCell ref="I41:J41"/>
    <mergeCell ref="I36:J36"/>
    <mergeCell ref="I37:J37"/>
    <mergeCell ref="I38:J38"/>
    <mergeCell ref="I39:J39"/>
    <mergeCell ref="I40:J40"/>
    <mergeCell ref="C3:C4"/>
    <mergeCell ref="D6:D11"/>
    <mergeCell ref="E6:E11"/>
    <mergeCell ref="F6:F11"/>
    <mergeCell ref="G6:G11"/>
    <mergeCell ref="G3:G4"/>
    <mergeCell ref="D3:D4"/>
    <mergeCell ref="E3:E4"/>
    <mergeCell ref="F3:F4"/>
    <mergeCell ref="O6:O11"/>
    <mergeCell ref="P6:P11"/>
    <mergeCell ref="Q6:Q11"/>
    <mergeCell ref="M9:M10"/>
    <mergeCell ref="M3:M4"/>
    <mergeCell ref="N3:N4"/>
    <mergeCell ref="O3:O4"/>
    <mergeCell ref="P3:P4"/>
    <mergeCell ref="Q3:Q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I50:J50"/>
    <mergeCell ref="I51:J51"/>
    <mergeCell ref="I52:J52"/>
    <mergeCell ref="I53:J53"/>
    <mergeCell ref="I54:J54"/>
    <mergeCell ref="I55:J55"/>
    <mergeCell ref="I56:J56"/>
    <mergeCell ref="I57:J57"/>
    <mergeCell ref="I58:J58"/>
    <mergeCell ref="I59:J59"/>
    <mergeCell ref="I65:J65"/>
    <mergeCell ref="I66:J66"/>
    <mergeCell ref="I60:J60"/>
    <mergeCell ref="I61:J61"/>
    <mergeCell ref="I62:J62"/>
    <mergeCell ref="I63:J63"/>
    <mergeCell ref="I64:J64"/>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2020-10-21T10:01:57Z</dcterms:modified>
</cp:coreProperties>
</file>